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https://d.docs.live.net/627b803c0d5f9e52/Documents/Enrique escritorio/Formación proyectos/Curso gestión/Curso MMV gestión/Ebook/"/>
    </mc:Choice>
  </mc:AlternateContent>
  <xr:revisionPtr revIDLastSave="1" documentId="13_ncr:1_{0D6B5965-5C7B-4E40-B849-8DD890B58332}" xr6:coauthVersionLast="47" xr6:coauthVersionMax="47" xr10:uidLastSave="{6820EC35-4929-FD4F-B972-923AE9523895}"/>
  <bookViews>
    <workbookView xWindow="0" yWindow="660" windowWidth="29400" windowHeight="17060" tabRatio="500" activeTab="3" xr2:uid="{00000000-000D-0000-FFFF-FFFF00000000}"/>
  </bookViews>
  <sheets>
    <sheet name="OCTUBRE" sheetId="1" r:id="rId1"/>
    <sheet name="MAYO" sheetId="2" r:id="rId2"/>
    <sheet name="KPIs" sheetId="3" r:id="rId3"/>
    <sheet name="Stocks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6" i="3" l="1"/>
  <c r="E16" i="3" s="1"/>
  <c r="C16" i="3"/>
  <c r="D108" i="2"/>
  <c r="C108" i="2"/>
  <c r="D107" i="2"/>
  <c r="C85" i="2"/>
  <c r="C87" i="2" s="1"/>
  <c r="C90" i="2" s="1"/>
  <c r="C84" i="2"/>
  <c r="C83" i="2"/>
  <c r="D77" i="2"/>
  <c r="D76" i="2"/>
  <c r="D75" i="2"/>
  <c r="C74" i="2"/>
  <c r="C71" i="2"/>
  <c r="E71" i="2" s="1"/>
  <c r="C70" i="2"/>
  <c r="C24" i="2" s="1"/>
  <c r="C23" i="2" s="1"/>
  <c r="E64" i="2"/>
  <c r="C64" i="2"/>
  <c r="C61" i="2"/>
  <c r="C54" i="2"/>
  <c r="C49" i="2"/>
  <c r="E48" i="2"/>
  <c r="C46" i="2"/>
  <c r="C36" i="2"/>
  <c r="E29" i="2"/>
  <c r="C29" i="2"/>
  <c r="C15" i="2"/>
  <c r="C14" i="2"/>
  <c r="C13" i="2"/>
  <c r="C12" i="2"/>
  <c r="C11" i="2" s="1"/>
  <c r="F11" i="2"/>
  <c r="C10" i="2"/>
  <c r="D106" i="2" s="1"/>
  <c r="C9" i="2"/>
  <c r="C8" i="2"/>
  <c r="C7" i="2"/>
  <c r="C6" i="2"/>
  <c r="C5" i="2"/>
  <c r="G4" i="2"/>
  <c r="C4" i="2"/>
  <c r="C110" i="1"/>
  <c r="C23" i="3" s="1"/>
  <c r="C108" i="1"/>
  <c r="D108" i="1" s="1"/>
  <c r="D107" i="1"/>
  <c r="D106" i="1"/>
  <c r="C89" i="1"/>
  <c r="C84" i="1"/>
  <c r="C85" i="1" s="1"/>
  <c r="C87" i="1" s="1"/>
  <c r="C90" i="1" s="1"/>
  <c r="L83" i="1"/>
  <c r="C83" i="1"/>
  <c r="L82" i="1"/>
  <c r="L81" i="1"/>
  <c r="L77" i="1"/>
  <c r="D77" i="1"/>
  <c r="L76" i="1"/>
  <c r="L75" i="1"/>
  <c r="C74" i="1"/>
  <c r="C80" i="1" s="1"/>
  <c r="E71" i="1"/>
  <c r="E70" i="1"/>
  <c r="E64" i="1"/>
  <c r="C64" i="1"/>
  <c r="C61" i="1"/>
  <c r="C54" i="1"/>
  <c r="C49" i="1"/>
  <c r="E48" i="1"/>
  <c r="C46" i="1"/>
  <c r="C36" i="1"/>
  <c r="E29" i="1"/>
  <c r="C29" i="1"/>
  <c r="C24" i="1"/>
  <c r="C23" i="1"/>
  <c r="E26" i="1" s="1"/>
  <c r="D20" i="1"/>
  <c r="D19" i="1"/>
  <c r="D18" i="1"/>
  <c r="D17" i="1"/>
  <c r="D16" i="1"/>
  <c r="C15" i="1"/>
  <c r="D21" i="1" s="1"/>
  <c r="C11" i="1"/>
  <c r="C3" i="1"/>
  <c r="I11" i="4"/>
  <c r="I10" i="4"/>
  <c r="I8" i="4"/>
  <c r="K7" i="4"/>
  <c r="I7" i="4"/>
  <c r="I6" i="4"/>
  <c r="I5" i="4"/>
  <c r="I4" i="4"/>
  <c r="K3" i="4"/>
  <c r="I3" i="4"/>
  <c r="E107" i="1" l="1"/>
  <c r="C66" i="1"/>
  <c r="E66" i="1" s="1"/>
  <c r="C53" i="1"/>
  <c r="C15" i="3" s="1"/>
  <c r="D8" i="1"/>
  <c r="C5" i="3" s="1"/>
  <c r="D7" i="1"/>
  <c r="C2" i="1"/>
  <c r="E106" i="1"/>
  <c r="D6" i="1"/>
  <c r="C6" i="3" s="1"/>
  <c r="D5" i="1"/>
  <c r="D4" i="1"/>
  <c r="C4" i="3" s="1"/>
  <c r="C67" i="1"/>
  <c r="D10" i="1"/>
  <c r="C7" i="3" s="1"/>
  <c r="E3" i="1"/>
  <c r="D9" i="1"/>
  <c r="C3" i="2"/>
  <c r="D4" i="2"/>
  <c r="D4" i="3" s="1"/>
  <c r="E4" i="3" s="1"/>
  <c r="D21" i="2"/>
  <c r="D20" i="2"/>
  <c r="D19" i="2"/>
  <c r="D16" i="2"/>
  <c r="D18" i="2"/>
  <c r="D17" i="2"/>
  <c r="D14" i="1"/>
  <c r="D13" i="1"/>
  <c r="D12" i="1"/>
  <c r="D11" i="1"/>
  <c r="C8" i="3" s="1"/>
  <c r="C55" i="1"/>
  <c r="D79" i="1"/>
  <c r="D78" i="1"/>
  <c r="D6" i="2"/>
  <c r="D6" i="3" s="1"/>
  <c r="E6" i="3" s="1"/>
  <c r="D14" i="2"/>
  <c r="C55" i="2"/>
  <c r="D29" i="1"/>
  <c r="C11" i="3" s="1"/>
  <c r="E100" i="1"/>
  <c r="E101" i="1" s="1"/>
  <c r="D13" i="2"/>
  <c r="E23" i="2"/>
  <c r="C91" i="2" s="1"/>
  <c r="D23" i="1"/>
  <c r="C10" i="3" s="1"/>
  <c r="D76" i="1"/>
  <c r="D12" i="2"/>
  <c r="E70" i="2"/>
  <c r="E23" i="1"/>
  <c r="D74" i="1"/>
  <c r="C110" i="2"/>
  <c r="D23" i="3" s="1"/>
  <c r="E23" i="3" s="1"/>
  <c r="D75" i="1"/>
  <c r="D10" i="2"/>
  <c r="D7" i="3" s="1"/>
  <c r="E7" i="3" s="1"/>
  <c r="C80" i="2"/>
  <c r="D79" i="2" l="1"/>
  <c r="C42" i="2"/>
  <c r="D78" i="2"/>
  <c r="D74" i="2"/>
  <c r="D80" i="2" s="1"/>
  <c r="C60" i="1"/>
  <c r="C57" i="1"/>
  <c r="C22" i="1"/>
  <c r="E2" i="1"/>
  <c r="C2" i="3"/>
  <c r="D65" i="1"/>
  <c r="C52" i="1"/>
  <c r="C14" i="3" s="1"/>
  <c r="D63" i="1"/>
  <c r="D64" i="1"/>
  <c r="D62" i="1"/>
  <c r="D15" i="1"/>
  <c r="D3" i="1"/>
  <c r="C3" i="3" s="1"/>
  <c r="D80" i="1"/>
  <c r="C66" i="2"/>
  <c r="E66" i="2" s="1"/>
  <c r="C53" i="2"/>
  <c r="E3" i="2"/>
  <c r="D3" i="2"/>
  <c r="D3" i="3" s="1"/>
  <c r="E3" i="3" s="1"/>
  <c r="D8" i="2"/>
  <c r="D5" i="3" s="1"/>
  <c r="E5" i="3" s="1"/>
  <c r="D9" i="2"/>
  <c r="D5" i="2"/>
  <c r="C2" i="2"/>
  <c r="E107" i="2"/>
  <c r="C67" i="2"/>
  <c r="E106" i="2"/>
  <c r="D7" i="2"/>
  <c r="G26" i="1"/>
  <c r="C91" i="1"/>
  <c r="D97" i="2"/>
  <c r="E97" i="2" s="1"/>
  <c r="F97" i="2" s="1"/>
  <c r="G97" i="2" s="1"/>
  <c r="D95" i="2"/>
  <c r="E95" i="2" s="1"/>
  <c r="F95" i="2" s="1"/>
  <c r="G95" i="2" s="1"/>
  <c r="D20" i="3" s="1"/>
  <c r="D93" i="2"/>
  <c r="E93" i="2" s="1"/>
  <c r="F93" i="2" s="1"/>
  <c r="G93" i="2" s="1"/>
  <c r="D18" i="3" s="1"/>
  <c r="D96" i="2"/>
  <c r="E96" i="2" s="1"/>
  <c r="F96" i="2" s="1"/>
  <c r="G96" i="2" s="1"/>
  <c r="D17" i="3"/>
  <c r="D94" i="2"/>
  <c r="E94" i="2" s="1"/>
  <c r="F94" i="2" s="1"/>
  <c r="G94" i="2" s="1"/>
  <c r="D19" i="3" s="1"/>
  <c r="D15" i="3" l="1"/>
  <c r="E15" i="3" s="1"/>
  <c r="E100" i="2"/>
  <c r="E101" i="2" s="1"/>
  <c r="D93" i="1"/>
  <c r="E93" i="1" s="1"/>
  <c r="D96" i="1"/>
  <c r="E96" i="1" s="1"/>
  <c r="D97" i="1"/>
  <c r="E97" i="1" s="1"/>
  <c r="C17" i="3"/>
  <c r="D94" i="1"/>
  <c r="E94" i="1" s="1"/>
  <c r="D95" i="1"/>
  <c r="E95" i="1" s="1"/>
  <c r="G75" i="1"/>
  <c r="H77" i="1"/>
  <c r="H76" i="1"/>
  <c r="G76" i="1"/>
  <c r="C58" i="1"/>
  <c r="C59" i="1" s="1"/>
  <c r="E59" i="1" s="1"/>
  <c r="G77" i="1"/>
  <c r="H75" i="1"/>
  <c r="C56" i="1"/>
  <c r="C35" i="1"/>
  <c r="D22" i="1"/>
  <c r="C60" i="2"/>
  <c r="C57" i="2"/>
  <c r="E17" i="3"/>
  <c r="D2" i="3"/>
  <c r="E2" i="3" s="1"/>
  <c r="D65" i="2"/>
  <c r="C52" i="2"/>
  <c r="D14" i="3" s="1"/>
  <c r="E14" i="3" s="1"/>
  <c r="E2" i="2"/>
  <c r="D63" i="2"/>
  <c r="D64" i="2"/>
  <c r="D62" i="2"/>
  <c r="D29" i="2"/>
  <c r="D11" i="3" s="1"/>
  <c r="E11" i="3" s="1"/>
  <c r="C22" i="2"/>
  <c r="D11" i="2"/>
  <c r="D8" i="3" s="1"/>
  <c r="E8" i="3" s="1"/>
  <c r="D23" i="2"/>
  <c r="D10" i="3" s="1"/>
  <c r="E10" i="3" s="1"/>
  <c r="D15" i="2"/>
  <c r="M81" i="1" l="1"/>
  <c r="I75" i="1"/>
  <c r="I94" i="1"/>
  <c r="F94" i="1"/>
  <c r="G94" i="1" s="1"/>
  <c r="C19" i="3" s="1"/>
  <c r="E19" i="3" s="1"/>
  <c r="I97" i="1"/>
  <c r="F97" i="1"/>
  <c r="G97" i="1" s="1"/>
  <c r="F96" i="1"/>
  <c r="G96" i="1" s="1"/>
  <c r="I96" i="1"/>
  <c r="I93" i="1"/>
  <c r="F93" i="1"/>
  <c r="G93" i="1" s="1"/>
  <c r="C18" i="3" s="1"/>
  <c r="E18" i="3" s="1"/>
  <c r="C35" i="2"/>
  <c r="D22" i="2"/>
  <c r="C9" i="3"/>
  <c r="E22" i="1"/>
  <c r="C102" i="1" s="1"/>
  <c r="M83" i="1"/>
  <c r="I77" i="1"/>
  <c r="H76" i="2"/>
  <c r="I76" i="2" s="1"/>
  <c r="G76" i="2"/>
  <c r="H75" i="2"/>
  <c r="I75" i="2" s="1"/>
  <c r="C56" i="2"/>
  <c r="H77" i="2"/>
  <c r="I77" i="2" s="1"/>
  <c r="C58" i="2"/>
  <c r="C59" i="2" s="1"/>
  <c r="E59" i="2" s="1"/>
  <c r="G77" i="2"/>
  <c r="G75" i="2"/>
  <c r="I76" i="1"/>
  <c r="M82" i="1"/>
  <c r="C38" i="1"/>
  <c r="D35" i="1"/>
  <c r="C12" i="3" s="1"/>
  <c r="I95" i="1"/>
  <c r="F95" i="1"/>
  <c r="G95" i="1" s="1"/>
  <c r="C20" i="3" s="1"/>
  <c r="E20" i="3" s="1"/>
  <c r="C21" i="3" l="1"/>
  <c r="C103" i="1"/>
  <c r="D103" i="1" s="1"/>
  <c r="C22" i="3" s="1"/>
  <c r="E22" i="2"/>
  <c r="C102" i="2" s="1"/>
  <c r="D9" i="3"/>
  <c r="E9" i="3" s="1"/>
  <c r="D38" i="1"/>
  <c r="C40" i="1"/>
  <c r="D40" i="1" s="1"/>
  <c r="C13" i="3" s="1"/>
  <c r="C39" i="1"/>
  <c r="C38" i="2"/>
  <c r="D35" i="2"/>
  <c r="D12" i="3" s="1"/>
  <c r="E12" i="3" s="1"/>
  <c r="D21" i="3" l="1"/>
  <c r="E21" i="3" s="1"/>
  <c r="C103" i="2"/>
  <c r="D103" i="2" s="1"/>
  <c r="D22" i="3" s="1"/>
  <c r="E22" i="3" s="1"/>
  <c r="C39" i="2"/>
  <c r="C40" i="2" s="1"/>
  <c r="D40" i="2" s="1"/>
  <c r="D13" i="3" s="1"/>
  <c r="E13" i="3" s="1"/>
  <c r="D38" i="2"/>
</calcChain>
</file>

<file path=xl/sharedStrings.xml><?xml version="1.0" encoding="utf-8"?>
<sst xmlns="http://schemas.openxmlformats.org/spreadsheetml/2006/main" count="432" uniqueCount="243">
  <si>
    <t>OCTUBRE</t>
  </si>
  <si>
    <t>1. Ingresos  totales de la actividad</t>
  </si>
  <si>
    <t>&lt; ANUAL</t>
  </si>
  <si>
    <t>1.1. Ingresos por clínica</t>
  </si>
  <si>
    <t>1.1.1. Consultas y revisiones</t>
  </si>
  <si>
    <t>1.1.2. Tratamientos</t>
  </si>
  <si>
    <t>1.1.3. Cirugía y anestesia</t>
  </si>
  <si>
    <t>1.1.4. Hospitalización y cuidados</t>
  </si>
  <si>
    <t>1.1.5.Diagnostico</t>
  </si>
  <si>
    <t>1.1.6. Tratamientos con cesión</t>
  </si>
  <si>
    <t>1.1.7. Medicina preventiva y vacunas</t>
  </si>
  <si>
    <t>1.2. Ingresos por otras actividades</t>
  </si>
  <si>
    <t>1.2.1. Peluquería y estética</t>
  </si>
  <si>
    <t>1.2.2. Venta de alimentación</t>
  </si>
  <si>
    <t>1.2.3. Venta de nutracéuticos y OTCs</t>
  </si>
  <si>
    <t>2. Compras y aprovisionamientos</t>
  </si>
  <si>
    <t>2.1. Compras de medicamentos</t>
  </si>
  <si>
    <t>2.2. Compras de fungibles</t>
  </si>
  <si>
    <t>2.3. Compras de productos de alimentación</t>
  </si>
  <si>
    <t>2.4. Compras de nutracéuticos y OTCs</t>
  </si>
  <si>
    <t>2.5. Laboratorio externo</t>
  </si>
  <si>
    <t>2.6. Especialistas externos</t>
  </si>
  <si>
    <t>3. Margen Bruto</t>
  </si>
  <si>
    <t>&lt;tanto por uno</t>
  </si>
  <si>
    <t>4. Costes salariales y de personal</t>
  </si>
  <si>
    <t>4.1. Costes salariales</t>
  </si>
  <si>
    <t>4.2. Retribución titular (autónomo)</t>
  </si>
  <si>
    <t>4.3. Cuota de autónomos</t>
  </si>
  <si>
    <t>4.4. Formación</t>
  </si>
  <si>
    <t>4.5. Costes colegiación y asociaciones profesionales</t>
  </si>
  <si>
    <t>5. Gastos fijos y suministros</t>
  </si>
  <si>
    <t>5.1. Alquiler local</t>
  </si>
  <si>
    <t>5.2. Suministros</t>
  </si>
  <si>
    <t>5.3. Gestoría y servicios externos</t>
  </si>
  <si>
    <t>5.4. Marketing y comunicación</t>
  </si>
  <si>
    <t>5.5. Otros gastos generales</t>
  </si>
  <si>
    <t>6. Pérdidas y ganancias (antes de impuestos y amortz.)</t>
  </si>
  <si>
    <t>7. Amortizaciones</t>
  </si>
  <si>
    <t>8. Costes financieros</t>
  </si>
  <si>
    <t>9. BAI</t>
  </si>
  <si>
    <t>10. Impuestos sobre el beneficio (25%)</t>
  </si>
  <si>
    <t>11. Resultado neto</t>
  </si>
  <si>
    <t>Número de clientes totales (histórico)</t>
  </si>
  <si>
    <t>Número de clientes activos (últimos 12 meses)</t>
  </si>
  <si>
    <t>Número clientes activos clínica (últimos 12 meses)</t>
  </si>
  <si>
    <t>Número de mascotas activas clínica (últimos 12 meses)</t>
  </si>
  <si>
    <t>Número de clientes activos por vet FT (12 meses)</t>
  </si>
  <si>
    <t>Mensual</t>
  </si>
  <si>
    <t>Número de visitas totales (mes en curso)</t>
  </si>
  <si>
    <t>Número de visitas clínicas (mes en curso)</t>
  </si>
  <si>
    <t>Número visitas clínicas por vet (mes en curso)</t>
  </si>
  <si>
    <t>Número de visitas de peluquería (mes en curso)</t>
  </si>
  <si>
    <t>Número de tickets de tienda (mes en curso)</t>
  </si>
  <si>
    <t>Ticket medio</t>
  </si>
  <si>
    <t>Ticket medio clínica</t>
  </si>
  <si>
    <t>Ticket medio peluquería</t>
  </si>
  <si>
    <t>Ticket medio tienda</t>
  </si>
  <si>
    <t>Gasto medio anual por cliente</t>
  </si>
  <si>
    <t>Gasto medio anual por cliente clínica</t>
  </si>
  <si>
    <t>Frecuencia media de visita (12 meses)</t>
  </si>
  <si>
    <t>Total de tickets anuales</t>
  </si>
  <si>
    <t>&lt;MES</t>
  </si>
  <si>
    <t>Frecuencia media de visita clínica (12 meses)</t>
  </si>
  <si>
    <t>Mascotas activas por cliente</t>
  </si>
  <si>
    <t>Descuentos aplicados</t>
  </si>
  <si>
    <t>Descuentos justificados por política de la empresa</t>
  </si>
  <si>
    <t>Descuentos no justificados</t>
  </si>
  <si>
    <t>Importe pendiente de cobro (mes en curso)</t>
  </si>
  <si>
    <t xml:space="preserve">Ingresos por veterinario </t>
  </si>
  <si>
    <t>Productividad facultativa</t>
  </si>
  <si>
    <t>Amortización de bienes (maquinaria)/mes</t>
  </si>
  <si>
    <t>Número Vets FT</t>
  </si>
  <si>
    <t>Sueldo bruto mes veterinario</t>
  </si>
  <si>
    <t>&lt;Costes salariales clínicos</t>
  </si>
  <si>
    <t>Sueldo bruto mes auxiliar</t>
  </si>
  <si>
    <t>SEGMENTACIÓN CLIENTES</t>
  </si>
  <si>
    <t>Visitas anuales</t>
  </si>
  <si>
    <t>Datos gráfico 1 - Base de datos</t>
  </si>
  <si>
    <t>TM</t>
  </si>
  <si>
    <t>A- ACTIVOS</t>
  </si>
  <si>
    <t>% ingresos</t>
  </si>
  <si>
    <t>Gasto medio cl</t>
  </si>
  <si>
    <t>Ingresos segmento</t>
  </si>
  <si>
    <t>Recurrencia segmento</t>
  </si>
  <si>
    <t>Segmento</t>
  </si>
  <si>
    <t>Registros</t>
  </si>
  <si>
    <t>A.1. Frecuentes</t>
  </si>
  <si>
    <t>&gt;= 8</t>
  </si>
  <si>
    <t>Activos</t>
  </si>
  <si>
    <t>A.2 Regulares</t>
  </si>
  <si>
    <t>3-7</t>
  </si>
  <si>
    <t>Fríos (12-24 m)</t>
  </si>
  <si>
    <t>A.3 Esporádicos</t>
  </si>
  <si>
    <t>1-2</t>
  </si>
  <si>
    <t>Perdidos (&gt;24 m)</t>
  </si>
  <si>
    <t>B- FRIOS (&gt;12&lt;24 meses sin visita)</t>
  </si>
  <si>
    <t>C- PERDIDOS (&gt; 24 meses sin visita)</t>
  </si>
  <si>
    <t>Datos gráfico 2 - Activos: clientes vs ingresos</t>
  </si>
  <si>
    <t>TOTAL REGISTROS EN BASE DE DATOS</t>
  </si>
  <si>
    <t>Subsegmento</t>
  </si>
  <si>
    <t>Nº clientes</t>
  </si>
  <si>
    <t>Ingresos (€)</t>
  </si>
  <si>
    <t>DATOS AGENDA Y COSTE POR MINUTO</t>
  </si>
  <si>
    <t>Frecuentes (&gt;=8 visitas)</t>
  </si>
  <si>
    <t>Días laborables anuales</t>
  </si>
  <si>
    <t>Regulares (3-7 visitas)</t>
  </si>
  <si>
    <t>Días laborables mes (media)</t>
  </si>
  <si>
    <t>Esporádicos (1-2 visitas)</t>
  </si>
  <si>
    <t>Minutos de agenda disponibles por día</t>
  </si>
  <si>
    <t>Minutos de agenda totales disponibles  al año (2,5 FTE)</t>
  </si>
  <si>
    <t>Factor de ocupación de agenda estimado</t>
  </si>
  <si>
    <t>Minutos de agenda reales disponibles al año (2,5 FTE)</t>
  </si>
  <si>
    <t>Estimación porcentual de ocupación efectiva de agenda</t>
  </si>
  <si>
    <t>Estimación porcentual de huecos de agenda</t>
  </si>
  <si>
    <t>Minutos de agenda realemente utilizados al año (2,5 FTE)</t>
  </si>
  <si>
    <t>Coste por minuto</t>
  </si>
  <si>
    <t>TARIFAS BÁSICAS DE ALGUNOS SERVICIOS</t>
  </si>
  <si>
    <t>Duración (min)</t>
  </si>
  <si>
    <t>Tarifa base</t>
  </si>
  <si>
    <t>Tarifa  costes (15%)</t>
  </si>
  <si>
    <t>Tarifa recomendada minIma (50%)</t>
  </si>
  <si>
    <t>PV coste c/ IVA</t>
  </si>
  <si>
    <t>Consulta estándar</t>
  </si>
  <si>
    <t>&lt; IVA 21% INCL.</t>
  </si>
  <si>
    <t>Vacunación y preventiva</t>
  </si>
  <si>
    <t>Cirugía media (esterilización)</t>
  </si>
  <si>
    <t>Ecografía</t>
  </si>
  <si>
    <t>Analítica + interpretación</t>
  </si>
  <si>
    <t>CUANTIFICACIÓN EFICIENCIA TIEMPO EN CONSULTAS</t>
  </si>
  <si>
    <t>Tiempo (min)</t>
  </si>
  <si>
    <t>Cons. diarias</t>
  </si>
  <si>
    <t>Impacto</t>
  </si>
  <si>
    <t>Veterinario eficiente</t>
  </si>
  <si>
    <t>Veterinario que se alarga</t>
  </si>
  <si>
    <t>&lt;por mes</t>
  </si>
  <si>
    <t>&lt; por año</t>
  </si>
  <si>
    <t>PUNTO DE EQUILIBRIO</t>
  </si>
  <si>
    <t>MARGEN DE SEGURIDAD</t>
  </si>
  <si>
    <t>DESGLOSE DE LA LÍNEA 1.1.7 — MEDICINA PREVENTIVA Y VACUNAS</t>
  </si>
  <si>
    <t>Importe</t>
  </si>
  <si>
    <t>% del bloque</t>
  </si>
  <si>
    <t>% s/ing. clínica</t>
  </si>
  <si>
    <t>1.1.7.1. Vacunas</t>
  </si>
  <si>
    <t>1.1.7.2. Medicina preventiva (resto)</t>
  </si>
  <si>
    <t>Comprobación (debe igualar 1.1.7)</t>
  </si>
  <si>
    <t>DEPENDENCIA DE VACUNACIÓN (vacunas / total medicina preventiva)</t>
  </si>
  <si>
    <t>objetivo: cuanto más bajo, menos expuesto a cambios en las directrices de vacunación</t>
  </si>
  <si>
    <t>MAYO</t>
  </si>
  <si>
    <t>*aumento de costes de laboratorio externo</t>
  </si>
  <si>
    <t>*aumento de contrataciones de especialistas</t>
  </si>
  <si>
    <t>*aumento costes salariales (3%)</t>
  </si>
  <si>
    <t>*Laura "cobra" 200€ más al mes</t>
  </si>
  <si>
    <t>*aumento del alquiler del local</t>
  </si>
  <si>
    <t>*aumento costes de asesoramiento empresarial</t>
  </si>
  <si>
    <t>Estimación porcentual de ocupación de agenda</t>
  </si>
  <si>
    <t>Minutos de agenda realmente utilizados al año (2,5 FTE)</t>
  </si>
  <si>
    <t>TENDENCIA</t>
  </si>
  <si>
    <t>OBJETIVO MINIMO</t>
  </si>
  <si>
    <t>INGRESOS TOTALES</t>
  </si>
  <si>
    <t>INGRESOS CLINICA</t>
  </si>
  <si>
    <t>&gt; 85%</t>
  </si>
  <si>
    <t>INGRESOS POR CONSULTA</t>
  </si>
  <si>
    <t>&gt;30%</t>
  </si>
  <si>
    <t>INGRESOS POR DIAGNOSTICO</t>
  </si>
  <si>
    <t>&gt;25%</t>
  </si>
  <si>
    <t>INGRESOS POR CIRUGÍA</t>
  </si>
  <si>
    <t>INGRESOS POR VACUNA Y PREVENTIVA</t>
  </si>
  <si>
    <t>15-20%</t>
  </si>
  <si>
    <t>INGRESOS OTROS</t>
  </si>
  <si>
    <t>&lt;15%</t>
  </si>
  <si>
    <t>MARGEN BRUTO</t>
  </si>
  <si>
    <t>&gt;75%</t>
  </si>
  <si>
    <t>COSTES PERSONAL</t>
  </si>
  <si>
    <t>&lt;40%</t>
  </si>
  <si>
    <t>COSTES FIJOS</t>
  </si>
  <si>
    <t>&lt;10%</t>
  </si>
  <si>
    <t>RESULTADO OPERATIVO</t>
  </si>
  <si>
    <t>&gt;15%</t>
  </si>
  <si>
    <t>RESULTADO NETO</t>
  </si>
  <si>
    <t>&gt;10%</t>
  </si>
  <si>
    <t>TICKET MEDIO TOTAL</t>
  </si>
  <si>
    <t>&gt;65%</t>
  </si>
  <si>
    <t>TICKET MEDIO CLINICA</t>
  </si>
  <si>
    <t>PORCENTAJE HUECOS AGENDA</t>
  </si>
  <si>
    <t>COSTE POR MINUTO</t>
  </si>
  <si>
    <t>&lt;1 EURO/MIN</t>
  </si>
  <si>
    <t>PVP CONSULTA</t>
  </si>
  <si>
    <t xml:space="preserve">PVP VACUNA </t>
  </si>
  <si>
    <t>PVP ESTERILIZACIÓN</t>
  </si>
  <si>
    <t>DEPENDENCIA DE VACUNACIÓN</t>
  </si>
  <si>
    <t>&lt; 50% (propuesta)</t>
  </si>
  <si>
    <t>Producto</t>
  </si>
  <si>
    <t>Categoría</t>
  </si>
  <si>
    <t>Stock (uds)</t>
  </si>
  <si>
    <t>Mín.</t>
  </si>
  <si>
    <t>Rot./mes</t>
  </si>
  <si>
    <t>P.Compra BI</t>
  </si>
  <si>
    <t>P.Venta* BI</t>
  </si>
  <si>
    <t>Margen  (V)</t>
  </si>
  <si>
    <t>Margen objetivo</t>
  </si>
  <si>
    <t>Precio objetivo BI</t>
  </si>
  <si>
    <t>Cad.(meses)</t>
  </si>
  <si>
    <t>Alerta</t>
  </si>
  <si>
    <t>Problema</t>
  </si>
  <si>
    <t>Detalle</t>
  </si>
  <si>
    <t>Impacto económico</t>
  </si>
  <si>
    <t>Antiparasitario externo (pipetas)</t>
  </si>
  <si>
    <t>Venta OTC</t>
  </si>
  <si>
    <t>🟡</t>
  </si>
  <si>
    <t>🟡 Margen bajo — Pipetas</t>
  </si>
  <si>
    <t>Margen actual: 23,6%. Objetivo: 40%.</t>
  </si>
  <si>
    <t>Precio objetivo: 7,00 € (actual: 5,50 €) +57,00 €/mes con ajuste de precio</t>
  </si>
  <si>
    <t>Antiparasitario interno (comprimidos)*</t>
  </si>
  <si>
    <t>Medicamento</t>
  </si>
  <si>
    <t>🔴</t>
  </si>
  <si>
    <t>🔴 Rotura — Antiparasitario interno</t>
  </si>
  <si>
    <t>3 uds en stock, mínimo 15 uds. Déficit: 12 uds.</t>
  </si>
  <si>
    <t>Sobrecoste reposición urgente: ~24,84 € ~5–6 consultas afectadas</t>
  </si>
  <si>
    <t>Vacuna polivalente canina*</t>
  </si>
  <si>
    <t>🔴 Rotura — Vacuna polivalente</t>
  </si>
  <si>
    <t>4 uds en stock, mínimo 10 uds. Déficit: 6 uds.</t>
  </si>
  <si>
    <t>Ingresos en riesgo: 210 € (6 vacunaciones × 35 €)</t>
  </si>
  <si>
    <t>Meloxicam (antiinflamatorio)*</t>
  </si>
  <si>
    <t>🟢</t>
  </si>
  <si>
    <t xml:space="preserve">Alimento dietético </t>
  </si>
  <si>
    <t>Venta prescripción</t>
  </si>
  <si>
    <t>🟡 Margen bajo — Alimento dietético</t>
  </si>
  <si>
    <t>Margen actual: 15,9%. Objetivo: 35%.</t>
  </si>
  <si>
    <t>Precio objetivo: 28,46 € (actual: 22,00 €) +51,68 €/mes con ajuste de precio</t>
  </si>
  <si>
    <t>Tests rápidos (parvovirus/moquillo)*</t>
  </si>
  <si>
    <t>Diagnóstico</t>
  </si>
  <si>
    <t>🔴 Caducidad — Tests rápidos</t>
  </si>
  <si>
    <t>8 uds. Caduca en 1 mes. Rotación: 3 uds/mes.</t>
  </si>
  <si>
    <t>Pérdida potencial: 54,40 € (8 × 6,80 €) Lucro cesante: 265,60€</t>
  </si>
  <si>
    <t>Material de sutura</t>
  </si>
  <si>
    <t>Material sanitario</t>
  </si>
  <si>
    <t>Imputa costes en cirugía</t>
  </si>
  <si>
    <t>Reactivos analizador hematológico*</t>
  </si>
  <si>
    <t>🔴 Caducidad — Reactivos analizador</t>
  </si>
  <si>
    <t>12 uds. Caduca en 2 meses. Rotación: 4 uds/mes.</t>
  </si>
  <si>
    <t>Pérdida potencial: 112,00 € (4 × 28,00 €) Lucro cesante: 128,00€</t>
  </si>
  <si>
    <t>Antibiótico (amoxicilina)*</t>
  </si>
  <si>
    <t>* Son productos de prescripción/prestación de servicios. Se facturan como cesión/prestación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</si>
</sst>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&quot; €&quot;_-;\-* #,##0.00&quot; €&quot;_-;_-* \-??&quot; €&quot;_-;_-@_-"/>
    <numFmt numFmtId="165" formatCode="0.0%"/>
    <numFmt numFmtId="166" formatCode="0.000"/>
    <numFmt numFmtId="167" formatCode="0.0"/>
    <numFmt numFmtId="168" formatCode="#,##0.0"/>
    <numFmt numFmtId="169" formatCode="\€#,##0"/>
    <numFmt numFmtId="170" formatCode="#,##0.00&quot; €&quot;;[Red]\-#,##0.00&quot; €&quot;"/>
  </numFmts>
  <fonts count="16" x14ac:knownFonts="1">
    <font>
      <sz val="12"/>
      <color theme="1"/>
      <name val="Aptos Narrow"/>
      <family val="2"/>
      <charset val="1"/>
    </font>
    <font>
      <b/>
      <sz val="12"/>
      <color theme="1"/>
      <name val="Aptos Narrow"/>
    </font>
    <font>
      <i/>
      <sz val="12"/>
      <color theme="1"/>
      <name val="Aptos Narrow"/>
    </font>
    <font>
      <i/>
      <sz val="11"/>
      <color theme="1"/>
      <name val="Aptos Narrow"/>
    </font>
    <font>
      <i/>
      <sz val="10"/>
      <color theme="1"/>
      <name val="Aptos Narrow"/>
    </font>
    <font>
      <i/>
      <sz val="10"/>
      <color theme="1"/>
      <name val="Aptos Narrow"/>
      <family val="2"/>
      <charset val="1"/>
    </font>
    <font>
      <b/>
      <sz val="11"/>
      <color rgb="FFFFFFFF"/>
      <name val="Cambria"/>
      <family val="1"/>
    </font>
    <font>
      <b/>
      <sz val="11"/>
      <name val="Cambria"/>
      <family val="1"/>
    </font>
    <font>
      <b/>
      <sz val="8.5"/>
      <color rgb="FFFFFFFF"/>
      <name val="Arial"/>
      <family val="2"/>
      <charset val="1"/>
    </font>
    <font>
      <b/>
      <sz val="9.5"/>
      <color rgb="FFFFFFFF"/>
      <name val="Arial"/>
      <family val="2"/>
      <charset val="1"/>
    </font>
    <font>
      <b/>
      <sz val="8.5"/>
      <color rgb="FF000000"/>
      <name val="Arial"/>
      <family val="2"/>
      <charset val="1"/>
    </font>
    <font>
      <sz val="8.5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b/>
      <sz val="9"/>
      <color rgb="FF333333"/>
      <name val="Arial"/>
      <family val="2"/>
      <charset val="1"/>
    </font>
    <font>
      <i/>
      <sz val="8.5"/>
      <color rgb="FF000000"/>
      <name val="Arial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rgb="FFD1D1D1"/>
      </patternFill>
    </fill>
    <fill>
      <patternFill patternType="solid">
        <fgColor theme="2" tint="-9.9978637043366805E-2"/>
        <bgColor rgb="FFCCCCCC"/>
      </patternFill>
    </fill>
    <fill>
      <patternFill patternType="solid">
        <fgColor rgb="FF1F5C73"/>
        <bgColor rgb="FF156082"/>
      </patternFill>
    </fill>
    <fill>
      <patternFill patternType="solid">
        <fgColor rgb="FFFFC000"/>
        <bgColor rgb="FFFF9900"/>
      </patternFill>
    </fill>
    <fill>
      <patternFill patternType="solid">
        <fgColor rgb="FFAAE571"/>
        <bgColor rgb="FFCCCCCC"/>
      </patternFill>
    </fill>
    <fill>
      <patternFill patternType="solid">
        <fgColor rgb="FFDC7E8C"/>
        <bgColor rgb="FFE97132"/>
      </patternFill>
    </fill>
    <fill>
      <patternFill patternType="solid">
        <fgColor rgb="FF014AAD"/>
        <bgColor rgb="FF156082"/>
      </patternFill>
    </fill>
    <fill>
      <patternFill patternType="solid">
        <fgColor rgb="FFFFFFFF"/>
        <bgColor rgb="FFFFFBE6"/>
      </patternFill>
    </fill>
    <fill>
      <patternFill patternType="solid">
        <fgColor rgb="FFFFFBE6"/>
        <bgColor rgb="FFF5F5F5"/>
      </patternFill>
    </fill>
    <fill>
      <patternFill patternType="solid">
        <fgColor rgb="FFF5F5F5"/>
        <bgColor rgb="FFF2F2F2"/>
      </patternFill>
    </fill>
    <fill>
      <patternFill patternType="solid">
        <fgColor rgb="FFFFF0F0"/>
        <bgColor rgb="FFF5F5F5"/>
      </patternFill>
    </fill>
    <fill>
      <patternFill patternType="solid">
        <fgColor rgb="FFEEF8EE"/>
        <bgColor rgb="FFF5F5F5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14AAD"/>
      </left>
      <right style="medium">
        <color rgb="FF014AAD"/>
      </right>
      <top style="medium">
        <color rgb="FF014AAD"/>
      </top>
      <bottom style="medium">
        <color rgb="FF014AAD"/>
      </bottom>
      <diagonal/>
    </border>
    <border>
      <left/>
      <right style="medium">
        <color rgb="FF014AAD"/>
      </right>
      <top style="medium">
        <color rgb="FF014AAD"/>
      </top>
      <bottom style="medium">
        <color rgb="FF014AA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 applyAlignment="1">
      <alignment horizontal="center"/>
    </xf>
    <xf numFmtId="0" fontId="2" fillId="0" borderId="0" xfId="0" applyFont="1"/>
    <xf numFmtId="164" fontId="3" fillId="0" borderId="0" xfId="0" applyNumberFormat="1" applyFont="1" applyAlignment="1">
      <alignment horizontal="center"/>
    </xf>
    <xf numFmtId="165" fontId="2" fillId="0" borderId="0" xfId="0" applyNumberFormat="1" applyFont="1"/>
    <xf numFmtId="164" fontId="3" fillId="0" borderId="0" xfId="0" applyNumberFormat="1" applyFont="1"/>
    <xf numFmtId="165" fontId="1" fillId="0" borderId="0" xfId="0" applyNumberFormat="1" applyFont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/>
    <xf numFmtId="165" fontId="1" fillId="0" borderId="1" xfId="0" applyNumberFormat="1" applyFont="1" applyBorder="1" applyAlignment="1">
      <alignment horizontal="center"/>
    </xf>
    <xf numFmtId="166" fontId="0" fillId="0" borderId="1" xfId="0" applyNumberFormat="1" applyBorder="1"/>
    <xf numFmtId="165" fontId="1" fillId="0" borderId="2" xfId="0" applyNumberFormat="1" applyFont="1" applyBorder="1" applyAlignment="1">
      <alignment horizontal="center"/>
    </xf>
    <xf numFmtId="3" fontId="0" fillId="0" borderId="0" xfId="0" applyNumberFormat="1"/>
    <xf numFmtId="0" fontId="0" fillId="0" borderId="4" xfId="0" applyBorder="1"/>
    <xf numFmtId="3" fontId="0" fillId="0" borderId="5" xfId="0" applyNumberFormat="1" applyBorder="1"/>
    <xf numFmtId="3" fontId="0" fillId="0" borderId="6" xfId="0" applyNumberFormat="1" applyBorder="1"/>
    <xf numFmtId="165" fontId="0" fillId="0" borderId="1" xfId="0" applyNumberFormat="1" applyBorder="1"/>
    <xf numFmtId="3" fontId="0" fillId="0" borderId="1" xfId="0" applyNumberFormat="1" applyBorder="1"/>
    <xf numFmtId="3" fontId="0" fillId="0" borderId="7" xfId="0" applyNumberFormat="1" applyBorder="1"/>
    <xf numFmtId="164" fontId="0" fillId="0" borderId="7" xfId="0" applyNumberFormat="1" applyBorder="1"/>
    <xf numFmtId="0" fontId="0" fillId="0" borderId="8" xfId="0" applyBorder="1"/>
    <xf numFmtId="164" fontId="0" fillId="0" borderId="9" xfId="0" applyNumberFormat="1" applyBorder="1"/>
    <xf numFmtId="0" fontId="0" fillId="0" borderId="0" xfId="0" applyAlignment="1">
      <alignment horizontal="distributed" vertical="center" textRotation="255"/>
    </xf>
    <xf numFmtId="2" fontId="0" fillId="0" borderId="0" xfId="0" applyNumberFormat="1"/>
    <xf numFmtId="4" fontId="0" fillId="0" borderId="0" xfId="0" applyNumberFormat="1"/>
    <xf numFmtId="167" fontId="0" fillId="0" borderId="0" xfId="0" applyNumberFormat="1"/>
    <xf numFmtId="0" fontId="1" fillId="0" borderId="10" xfId="0" applyFont="1" applyBorder="1"/>
    <xf numFmtId="164" fontId="0" fillId="0" borderId="4" xfId="0" applyNumberFormat="1" applyBorder="1"/>
    <xf numFmtId="165" fontId="0" fillId="0" borderId="4" xfId="0" applyNumberFormat="1" applyBorder="1"/>
    <xf numFmtId="0" fontId="0" fillId="0" borderId="5" xfId="0" applyBorder="1"/>
    <xf numFmtId="0" fontId="0" fillId="0" borderId="11" xfId="0" applyBorder="1"/>
    <xf numFmtId="0" fontId="0" fillId="0" borderId="7" xfId="0" applyBorder="1"/>
    <xf numFmtId="0" fontId="4" fillId="0" borderId="0" xfId="0" applyFont="1"/>
    <xf numFmtId="0" fontId="0" fillId="2" borderId="11" xfId="0" applyFill="1" applyBorder="1"/>
    <xf numFmtId="1" fontId="0" fillId="2" borderId="0" xfId="0" applyNumberFormat="1" applyFill="1"/>
    <xf numFmtId="165" fontId="0" fillId="2" borderId="0" xfId="0" applyNumberFormat="1" applyFill="1"/>
    <xf numFmtId="0" fontId="0" fillId="2" borderId="7" xfId="0" applyFill="1" applyBorder="1" applyAlignment="1">
      <alignment horizontal="center"/>
    </xf>
    <xf numFmtId="9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left"/>
    </xf>
    <xf numFmtId="164" fontId="0" fillId="3" borderId="0" xfId="0" applyNumberFormat="1" applyFill="1"/>
    <xf numFmtId="168" fontId="0" fillId="3" borderId="0" xfId="0" applyNumberFormat="1" applyFill="1"/>
    <xf numFmtId="49" fontId="0" fillId="2" borderId="7" xfId="0" applyNumberFormat="1" applyFill="1" applyBorder="1" applyAlignment="1">
      <alignment horizontal="center"/>
    </xf>
    <xf numFmtId="1" fontId="0" fillId="0" borderId="0" xfId="0" applyNumberFormat="1"/>
    <xf numFmtId="9" fontId="0" fillId="0" borderId="0" xfId="0" applyNumberFormat="1"/>
    <xf numFmtId="0" fontId="0" fillId="0" borderId="12" xfId="0" applyBorder="1" applyAlignment="1">
      <alignment horizontal="right"/>
    </xf>
    <xf numFmtId="3" fontId="0" fillId="0" borderId="8" xfId="0" applyNumberFormat="1" applyBorder="1"/>
    <xf numFmtId="165" fontId="0" fillId="0" borderId="8" xfId="0" applyNumberFormat="1" applyBorder="1"/>
    <xf numFmtId="0" fontId="0" fillId="0" borderId="9" xfId="0" applyBorder="1"/>
    <xf numFmtId="0" fontId="5" fillId="0" borderId="0" xfId="0" applyFont="1"/>
    <xf numFmtId="164" fontId="0" fillId="0" borderId="5" xfId="0" applyNumberFormat="1" applyBorder="1"/>
    <xf numFmtId="169" fontId="0" fillId="0" borderId="0" xfId="0" applyNumberFormat="1"/>
    <xf numFmtId="9" fontId="0" fillId="0" borderId="7" xfId="0" applyNumberFormat="1" applyBorder="1"/>
    <xf numFmtId="0" fontId="0" fillId="0" borderId="12" xfId="0" applyBorder="1"/>
    <xf numFmtId="164" fontId="2" fillId="0" borderId="4" xfId="0" applyNumberFormat="1" applyFont="1" applyBorder="1"/>
    <xf numFmtId="165" fontId="2" fillId="0" borderId="5" xfId="0" applyNumberFormat="1" applyFont="1" applyBorder="1"/>
    <xf numFmtId="0" fontId="2" fillId="0" borderId="13" xfId="0" applyFont="1" applyBorder="1"/>
    <xf numFmtId="0" fontId="2" fillId="0" borderId="10" xfId="0" applyFont="1" applyBorder="1"/>
    <xf numFmtId="0" fontId="2" fillId="0" borderId="4" xfId="0" applyFont="1" applyBorder="1"/>
    <xf numFmtId="0" fontId="2" fillId="0" borderId="5" xfId="0" applyFont="1" applyBorder="1"/>
    <xf numFmtId="1" fontId="0" fillId="0" borderId="0" xfId="0" applyNumberFormat="1" applyAlignment="1">
      <alignment horizontal="center"/>
    </xf>
    <xf numFmtId="164" fontId="0" fillId="0" borderId="14" xfId="0" applyNumberFormat="1" applyBorder="1"/>
    <xf numFmtId="164" fontId="0" fillId="0" borderId="11" xfId="0" applyNumberFormat="1" applyBorder="1"/>
    <xf numFmtId="1" fontId="0" fillId="0" borderId="8" xfId="0" applyNumberFormat="1" applyBorder="1" applyAlignment="1">
      <alignment horizontal="center"/>
    </xf>
    <xf numFmtId="164" fontId="0" fillId="0" borderId="15" xfId="0" applyNumberFormat="1" applyBorder="1"/>
    <xf numFmtId="164" fontId="0" fillId="0" borderId="8" xfId="0" applyNumberFormat="1" applyBorder="1"/>
    <xf numFmtId="165" fontId="2" fillId="0" borderId="4" xfId="0" applyNumberFormat="1" applyFont="1" applyBorder="1"/>
    <xf numFmtId="0" fontId="2" fillId="0" borderId="4" xfId="0" applyFont="1" applyBorder="1" applyAlignment="1">
      <alignment horizontal="center"/>
    </xf>
    <xf numFmtId="165" fontId="0" fillId="0" borderId="5" xfId="0" applyNumberFormat="1" applyBorder="1"/>
    <xf numFmtId="165" fontId="0" fillId="0" borderId="9" xfId="0" applyNumberFormat="1" applyBorder="1"/>
    <xf numFmtId="0" fontId="6" fillId="4" borderId="0" xfId="0" applyFont="1" applyFill="1"/>
    <xf numFmtId="0" fontId="7" fillId="0" borderId="0" xfId="0" applyFont="1"/>
    <xf numFmtId="2" fontId="0" fillId="0" borderId="1" xfId="0" applyNumberFormat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0" fillId="5" borderId="0" xfId="0" applyNumberFormat="1" applyFill="1"/>
    <xf numFmtId="165" fontId="0" fillId="6" borderId="0" xfId="0" applyNumberFormat="1" applyFill="1"/>
    <xf numFmtId="165" fontId="0" fillId="7" borderId="0" xfId="0" applyNumberFormat="1" applyFill="1"/>
    <xf numFmtId="164" fontId="0" fillId="5" borderId="0" xfId="0" applyNumberFormat="1" applyFill="1"/>
    <xf numFmtId="9" fontId="0" fillId="7" borderId="0" xfId="0" applyNumberFormat="1" applyFill="1"/>
    <xf numFmtId="9" fontId="0" fillId="5" borderId="0" xfId="0" applyNumberFormat="1" applyFill="1"/>
    <xf numFmtId="164" fontId="0" fillId="6" borderId="0" xfId="0" applyNumberFormat="1" applyFill="1"/>
    <xf numFmtId="0" fontId="8" fillId="8" borderId="16" xfId="0" applyFont="1" applyFill="1" applyBorder="1" applyAlignment="1">
      <alignment horizontal="center" vertical="center" wrapText="1"/>
    </xf>
    <xf numFmtId="0" fontId="8" fillId="8" borderId="17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vertical="center" wrapText="1"/>
    </xf>
    <xf numFmtId="0" fontId="9" fillId="8" borderId="17" xfId="0" applyFont="1" applyFill="1" applyBorder="1" applyAlignment="1">
      <alignment vertical="center" wrapText="1"/>
    </xf>
    <xf numFmtId="0" fontId="10" fillId="9" borderId="18" xfId="0" applyFont="1" applyFill="1" applyBorder="1" applyAlignment="1">
      <alignment vertical="center" wrapText="1"/>
    </xf>
    <xf numFmtId="0" fontId="11" fillId="9" borderId="19" xfId="0" applyFont="1" applyFill="1" applyBorder="1" applyAlignment="1">
      <alignment horizontal="center" vertical="center" wrapText="1"/>
    </xf>
    <xf numFmtId="170" fontId="11" fillId="9" borderId="19" xfId="0" applyNumberFormat="1" applyFont="1" applyFill="1" applyBorder="1" applyAlignment="1">
      <alignment horizontal="center" vertical="center" wrapText="1"/>
    </xf>
    <xf numFmtId="164" fontId="11" fillId="9" borderId="19" xfId="0" applyNumberFormat="1" applyFont="1" applyFill="1" applyBorder="1" applyAlignment="1">
      <alignment horizontal="center" vertical="center" wrapText="1"/>
    </xf>
    <xf numFmtId="165" fontId="11" fillId="9" borderId="19" xfId="0" applyNumberFormat="1" applyFont="1" applyFill="1" applyBorder="1" applyAlignment="1">
      <alignment horizontal="center" vertical="center" wrapText="1"/>
    </xf>
    <xf numFmtId="9" fontId="11" fillId="9" borderId="19" xfId="0" applyNumberFormat="1" applyFont="1" applyFill="1" applyBorder="1" applyAlignment="1">
      <alignment horizontal="center" vertical="center" wrapText="1"/>
    </xf>
    <xf numFmtId="0" fontId="11" fillId="10" borderId="19" xfId="0" applyFont="1" applyFill="1" applyBorder="1" applyAlignment="1">
      <alignment horizontal="center" vertical="center" wrapText="1"/>
    </xf>
    <xf numFmtId="0" fontId="12" fillId="10" borderId="20" xfId="0" applyFont="1" applyFill="1" applyBorder="1" applyAlignment="1">
      <alignment vertical="center" wrapText="1"/>
    </xf>
    <xf numFmtId="0" fontId="13" fillId="9" borderId="21" xfId="0" applyFont="1" applyFill="1" applyBorder="1" applyAlignment="1">
      <alignment vertical="center" wrapText="1"/>
    </xf>
    <xf numFmtId="0" fontId="14" fillId="9" borderId="21" xfId="0" applyFont="1" applyFill="1" applyBorder="1" applyAlignment="1">
      <alignment vertical="center" wrapText="1"/>
    </xf>
    <xf numFmtId="0" fontId="10" fillId="11" borderId="18" xfId="0" applyFont="1" applyFill="1" applyBorder="1" applyAlignment="1">
      <alignment vertical="center" wrapText="1"/>
    </xf>
    <xf numFmtId="0" fontId="11" fillId="11" borderId="19" xfId="0" applyFont="1" applyFill="1" applyBorder="1" applyAlignment="1">
      <alignment horizontal="center" vertical="center" wrapText="1"/>
    </xf>
    <xf numFmtId="170" fontId="11" fillId="11" borderId="19" xfId="0" applyNumberFormat="1" applyFont="1" applyFill="1" applyBorder="1" applyAlignment="1">
      <alignment horizontal="center" vertical="center" wrapText="1"/>
    </xf>
    <xf numFmtId="164" fontId="11" fillId="11" borderId="19" xfId="0" applyNumberFormat="1" applyFont="1" applyFill="1" applyBorder="1" applyAlignment="1">
      <alignment horizontal="center" vertical="center" wrapText="1"/>
    </xf>
    <xf numFmtId="0" fontId="11" fillId="12" borderId="19" xfId="0" applyFont="1" applyFill="1" applyBorder="1" applyAlignment="1">
      <alignment horizontal="center" vertical="center" wrapText="1"/>
    </xf>
    <xf numFmtId="0" fontId="12" fillId="12" borderId="20" xfId="0" applyFont="1" applyFill="1" applyBorder="1" applyAlignment="1">
      <alignment vertical="center" wrapText="1"/>
    </xf>
    <xf numFmtId="0" fontId="12" fillId="12" borderId="18" xfId="0" applyFont="1" applyFill="1" applyBorder="1" applyAlignment="1">
      <alignment vertical="center" wrapText="1"/>
    </xf>
    <xf numFmtId="0" fontId="13" fillId="0" borderId="19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0" fontId="11" fillId="13" borderId="19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vertical="center" wrapText="1"/>
    </xf>
    <xf numFmtId="0" fontId="13" fillId="0" borderId="21" xfId="0" applyFont="1" applyBorder="1" applyAlignment="1">
      <alignment vertical="center" wrapText="1"/>
    </xf>
    <xf numFmtId="0" fontId="14" fillId="0" borderId="21" xfId="0" applyFont="1" applyBorder="1" applyAlignment="1">
      <alignment vertical="center" wrapText="1"/>
    </xf>
    <xf numFmtId="0" fontId="15" fillId="0" borderId="22" xfId="0" applyFont="1" applyBorder="1" applyAlignment="1">
      <alignment vertical="center"/>
    </xf>
    <xf numFmtId="0" fontId="0" fillId="0" borderId="3" xfId="0" applyBorder="1" applyAlignment="1">
      <alignment horizontal="distributed" vertical="center" textRotation="255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96B24"/>
      <rgbColor rgb="FF000080"/>
      <rgbColor rgb="FF808000"/>
      <rgbColor rgb="FF800080"/>
      <rgbColor rgb="FF156082"/>
      <rgbColor rgb="FFCCCCCC"/>
      <rgbColor rgb="FF8B8B8B"/>
      <rgbColor rgb="FF9999FF"/>
      <rgbColor rgb="FF993366"/>
      <rgbColor rgb="FFFFFBE6"/>
      <rgbColor rgb="FFEEF8EE"/>
      <rgbColor rgb="FF660066"/>
      <rgbColor rgb="FFDC7E8C"/>
      <rgbColor rgb="FF014AAD"/>
      <rgbColor rgb="FFD1D1D1"/>
      <rgbColor rgb="FF000080"/>
      <rgbColor rgb="FFFF00FF"/>
      <rgbColor rgb="FFFFFF00"/>
      <rgbColor rgb="FF00FFFF"/>
      <rgbColor rgb="FF800080"/>
      <rgbColor rgb="FF800000"/>
      <rgbColor rgb="FF1F5C73"/>
      <rgbColor rgb="FF0000FF"/>
      <rgbColor rgb="FF00CCFF"/>
      <rgbColor rgb="FFF2F2F2"/>
      <rgbColor rgb="FFF5F5F5"/>
      <rgbColor rgb="FFFFF0F0"/>
      <rgbColor rgb="FF99CCFF"/>
      <rgbColor rgb="FFFF99CC"/>
      <rgbColor rgb="FFCC99FF"/>
      <rgbColor rgb="FFD9D9D9"/>
      <rgbColor rgb="FF2E75B6"/>
      <rgbColor rgb="FF33CCCC"/>
      <rgbColor rgb="FFAAE571"/>
      <rgbColor rgb="FFFFC000"/>
      <rgbColor rgb="FFFF9900"/>
      <rgbColor rgb="FFE97132"/>
      <rgbColor rgb="FF595959"/>
      <rgbColor rgb="FFAAAAAA"/>
      <rgbColor rgb="FF003366"/>
      <rgbColor rgb="FF339966"/>
      <rgbColor rgb="FF003300"/>
      <rgbColor rgb="FF40404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lang="en-US" sz="1200" b="1" strike="noStrike" spc="-1">
                <a:solidFill>
                  <a:srgbClr val="595959"/>
                </a:solidFill>
                <a:latin typeface="Aptos Narrow"/>
              </a:defRPr>
            </a:pPr>
            <a:r>
              <a:rPr lang="en-US" sz="1200" b="1" strike="noStrike" spc="-1">
                <a:solidFill>
                  <a:srgbClr val="595959"/>
                </a:solidFill>
                <a:latin typeface="Aptos Narrow"/>
              </a:rPr>
              <a:t>Segmentación de la base de datos (6.500 registros)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OCTUBRE!$L$74</c:f>
              <c:strCache>
                <c:ptCount val="1"/>
                <c:pt idx="0">
                  <c:v>Registros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156082"/>
              </a:soli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1-CAA2-6245-8EAF-68D57E003D58}"/>
              </c:ext>
            </c:extLst>
          </c:dPt>
          <c:dPt>
            <c:idx val="1"/>
            <c:bubble3D val="0"/>
            <c:spPr>
              <a:solidFill>
                <a:srgbClr val="E97132"/>
              </a:soli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3-CAA2-6245-8EAF-68D57E003D58}"/>
              </c:ext>
            </c:extLst>
          </c:dPt>
          <c:dPt>
            <c:idx val="2"/>
            <c:bubble3D val="0"/>
            <c:spPr>
              <a:solidFill>
                <a:srgbClr val="196B24"/>
              </a:solidFill>
              <a:ln w="1908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5-CAA2-6245-8EAF-68D57E003D58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000000"/>
                      </a:solidFill>
                      <a:latin typeface="Aptos Narrow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AA2-6245-8EAF-68D57E003D58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000000"/>
                      </a:solidFill>
                      <a:latin typeface="Aptos Narrow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AA2-6245-8EAF-68D57E003D58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1" strike="noStrike" spc="-1">
                      <a:solidFill>
                        <a:srgbClr val="000000"/>
                      </a:solidFill>
                      <a:latin typeface="Aptos Narrow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AA2-6245-8EAF-68D57E003D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Aptos Narrow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1"/>
            <c:separator>;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OCTUBRE!$K$75:$K$77</c:f>
              <c:strCache>
                <c:ptCount val="3"/>
                <c:pt idx="0">
                  <c:v>Activos</c:v>
                </c:pt>
                <c:pt idx="1">
                  <c:v>Fríos (12-24 m)</c:v>
                </c:pt>
                <c:pt idx="2">
                  <c:v>Perdidos (&gt;24 m)</c:v>
                </c:pt>
              </c:strCache>
            </c:strRef>
          </c:cat>
          <c:val>
            <c:numRef>
              <c:f>OCTUBRE!$L$75:$L$77</c:f>
              <c:numCache>
                <c:formatCode>#,##0</c:formatCode>
                <c:ptCount val="3"/>
                <c:pt idx="0">
                  <c:v>1340</c:v>
                </c:pt>
                <c:pt idx="1">
                  <c:v>550</c:v>
                </c:pt>
                <c:pt idx="2">
                  <c:v>4610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AA2-6245-8EAF-68D57E003D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595959"/>
              </a:solidFill>
              <a:latin typeface="Aptos Narrow"/>
            </a:defRPr>
          </a:pPr>
          <a:endParaRPr lang="es-E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lang="en-US" sz="1200" b="1" strike="noStrike" spc="-1">
                <a:solidFill>
                  <a:srgbClr val="595959"/>
                </a:solidFill>
                <a:latin typeface="Aptos Narrow"/>
              </a:defRPr>
            </a:pPr>
            <a:r>
              <a:rPr lang="en-US" sz="1200" b="1" strike="noStrike" spc="-1">
                <a:solidFill>
                  <a:srgbClr val="595959"/>
                </a:solidFill>
                <a:latin typeface="Aptos Narrow"/>
              </a:rPr>
              <a:t>Clientes activos vs. ingresos por subsegmento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OCTUBRE!$L$80</c:f>
              <c:strCache>
                <c:ptCount val="1"/>
                <c:pt idx="0">
                  <c:v>Nº clientes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900" b="0" strike="noStrike" spc="-1">
                    <a:solidFill>
                      <a:srgbClr val="404040"/>
                    </a:solidFill>
                    <a:latin typeface="Aptos Narrow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OCTUBRE!$K$81:$K$83</c:f>
              <c:strCache>
                <c:ptCount val="3"/>
                <c:pt idx="0">
                  <c:v>Frecuentes (&gt;=8 visitas)</c:v>
                </c:pt>
                <c:pt idx="1">
                  <c:v>Regulares (3-7 visitas)</c:v>
                </c:pt>
                <c:pt idx="2">
                  <c:v>Esporádicos (1-2 visitas)</c:v>
                </c:pt>
              </c:strCache>
            </c:strRef>
          </c:cat>
          <c:val>
            <c:numRef>
              <c:f>OCTUBRE!$L$81:$L$83</c:f>
              <c:numCache>
                <c:formatCode>#,##0</c:formatCode>
                <c:ptCount val="3"/>
                <c:pt idx="0">
                  <c:v>100</c:v>
                </c:pt>
                <c:pt idx="1">
                  <c:v>340</c:v>
                </c:pt>
                <c:pt idx="2">
                  <c:v>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C2-FF49-B879-328BACD908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693740"/>
        <c:axId val="37611639"/>
      </c:barChart>
      <c:lineChart>
        <c:grouping val="standard"/>
        <c:varyColors val="0"/>
        <c:ser>
          <c:idx val="1"/>
          <c:order val="1"/>
          <c:tx>
            <c:strRef>
              <c:f>OCTUBRE!$M$80</c:f>
              <c:strCache>
                <c:ptCount val="1"/>
                <c:pt idx="0">
                  <c:v>Ingresos (€)</c:v>
                </c:pt>
              </c:strCache>
            </c:strRef>
          </c:tx>
          <c:spPr>
            <a:ln w="28440" cap="rnd">
              <a:solidFill>
                <a:srgbClr val="E97132"/>
              </a:solidFill>
              <a:round/>
            </a:ln>
          </c:spPr>
          <c:marker>
            <c:symbol val="circle"/>
            <c:size val="5"/>
            <c:spPr>
              <a:solidFill>
                <a:srgbClr val="E97132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900" b="0" strike="noStrike" spc="-1">
                    <a:solidFill>
                      <a:srgbClr val="404040"/>
                    </a:solidFill>
                    <a:latin typeface="Aptos Narrow"/>
                  </a:defRPr>
                </a:pPr>
                <a:endParaRPr lang="es-E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OCTUBRE!$K$81:$K$83</c:f>
              <c:strCache>
                <c:ptCount val="3"/>
                <c:pt idx="0">
                  <c:v>Frecuentes (&gt;=8 visitas)</c:v>
                </c:pt>
                <c:pt idx="1">
                  <c:v>Regulares (3-7 visitas)</c:v>
                </c:pt>
                <c:pt idx="2">
                  <c:v>Esporádicos (1-2 visitas)</c:v>
                </c:pt>
              </c:strCache>
            </c:strRef>
          </c:cat>
          <c:val>
            <c:numRef>
              <c:f>OCTUBRE!$M$81:$M$83</c:f>
              <c:numCache>
                <c:formatCode>\€#,##0</c:formatCode>
                <c:ptCount val="3"/>
                <c:pt idx="0">
                  <c:v>63600</c:v>
                </c:pt>
                <c:pt idx="1">
                  <c:v>159000</c:v>
                </c:pt>
                <c:pt idx="2">
                  <c:v>95400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C2-FF49-B879-328BACD908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87440939"/>
        <c:axId val="50942456"/>
      </c:lineChart>
      <c:catAx>
        <c:axId val="826937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Aptos Narrow"/>
              </a:defRPr>
            </a:pPr>
            <a:endParaRPr lang="es-ES"/>
          </a:p>
        </c:txPr>
        <c:crossAx val="37611639"/>
        <c:crosses val="autoZero"/>
        <c:auto val="1"/>
        <c:lblAlgn val="ctr"/>
        <c:lblOffset val="100"/>
        <c:noMultiLvlLbl val="0"/>
      </c:catAx>
      <c:valAx>
        <c:axId val="37611639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1260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Aptos Narrow"/>
              </a:defRPr>
            </a:pPr>
            <a:endParaRPr lang="es-ES"/>
          </a:p>
        </c:txPr>
        <c:crossAx val="82693740"/>
        <c:crosses val="autoZero"/>
        <c:crossBetween val="between"/>
      </c:valAx>
      <c:catAx>
        <c:axId val="874409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942456"/>
        <c:crosses val="autoZero"/>
        <c:auto val="1"/>
        <c:lblAlgn val="ctr"/>
        <c:lblOffset val="100"/>
        <c:noMultiLvlLbl val="0"/>
      </c:catAx>
      <c:valAx>
        <c:axId val="50942456"/>
        <c:scaling>
          <c:orientation val="minMax"/>
        </c:scaling>
        <c:delete val="0"/>
        <c:axPos val="r"/>
        <c:numFmt formatCode="\€#,##0" sourceLinked="0"/>
        <c:majorTickMark val="out"/>
        <c:minorTickMark val="none"/>
        <c:tickLblPos val="nextTo"/>
        <c:spPr>
          <a:ln w="1260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Aptos Narrow"/>
              </a:defRPr>
            </a:pPr>
            <a:endParaRPr lang="es-ES"/>
          </a:p>
        </c:txPr>
        <c:crossAx val="87440939"/>
        <c:crosses val="max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595959"/>
              </a:solidFill>
              <a:latin typeface="Aptos Narrow"/>
            </a:defRPr>
          </a:pPr>
          <a:endParaRPr lang="es-E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85</xdr:row>
      <xdr:rowOff>2880</xdr:rowOff>
    </xdr:from>
    <xdr:to>
      <xdr:col>15</xdr:col>
      <xdr:colOff>1051200</xdr:colOff>
      <xdr:row>101</xdr:row>
      <xdr:rowOff>5400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16</xdr:col>
      <xdr:colOff>0</xdr:colOff>
      <xdr:row>85</xdr:row>
      <xdr:rowOff>2880</xdr:rowOff>
    </xdr:from>
    <xdr:to>
      <xdr:col>21</xdr:col>
      <xdr:colOff>1051560</xdr:colOff>
      <xdr:row>101</xdr:row>
      <xdr:rowOff>5400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0"/>
  <sheetViews>
    <sheetView zoomScale="162" zoomScaleNormal="162" workbookViewId="0">
      <selection activeCell="I75" sqref="I75"/>
    </sheetView>
  </sheetViews>
  <sheetFormatPr baseColWidth="10" defaultColWidth="10.83203125" defaultRowHeight="16" x14ac:dyDescent="0.2"/>
  <cols>
    <col min="1" max="1" width="5.6640625" customWidth="1"/>
    <col min="2" max="2" width="52" customWidth="1"/>
    <col min="3" max="3" width="13" style="1" customWidth="1"/>
    <col min="4" max="4" width="10.6640625" style="2" customWidth="1"/>
    <col min="5" max="5" width="16.1640625" customWidth="1"/>
    <col min="6" max="6" width="9.1640625" customWidth="1"/>
    <col min="7" max="7" width="15.6640625" customWidth="1"/>
    <col min="8" max="8" width="13.6640625" customWidth="1"/>
    <col min="11" max="11" width="38.83203125" customWidth="1"/>
    <col min="12" max="12" width="8.83203125" customWidth="1"/>
    <col min="13" max="13" width="9.1640625" customWidth="1"/>
  </cols>
  <sheetData>
    <row r="1" spans="2:6" ht="15.75" customHeight="1" x14ac:dyDescent="0.2">
      <c r="B1" t="s">
        <v>0</v>
      </c>
    </row>
    <row r="2" spans="2:6" ht="15.75" customHeight="1" x14ac:dyDescent="0.2">
      <c r="B2" s="3" t="s">
        <v>1</v>
      </c>
      <c r="C2" s="4">
        <f>C3+C11</f>
        <v>26500</v>
      </c>
      <c r="E2" s="1">
        <f>+C2*12</f>
        <v>318000</v>
      </c>
      <c r="F2" t="s">
        <v>2</v>
      </c>
    </row>
    <row r="3" spans="2:6" ht="15.75" customHeight="1" x14ac:dyDescent="0.2">
      <c r="B3" s="5" t="s">
        <v>3</v>
      </c>
      <c r="C3" s="6">
        <f>SUM(C4:C10)</f>
        <v>21900</v>
      </c>
      <c r="D3" s="7">
        <f>+C3/C2</f>
        <v>0.82641509433962268</v>
      </c>
      <c r="E3" s="6">
        <f>+C3*12</f>
        <v>262800</v>
      </c>
      <c r="F3" s="5" t="s">
        <v>2</v>
      </c>
    </row>
    <row r="4" spans="2:6" ht="15.75" customHeight="1" x14ac:dyDescent="0.2">
      <c r="B4" s="8" t="s">
        <v>4</v>
      </c>
      <c r="C4" s="9">
        <v>5800</v>
      </c>
      <c r="D4" s="10">
        <f t="shared" ref="D4:D10" si="0">+C4/$C$3</f>
        <v>0.26484018264840181</v>
      </c>
    </row>
    <row r="5" spans="2:6" ht="15.75" customHeight="1" x14ac:dyDescent="0.2">
      <c r="B5" s="8" t="s">
        <v>5</v>
      </c>
      <c r="C5" s="9">
        <v>1500</v>
      </c>
      <c r="D5" s="10">
        <f t="shared" si="0"/>
        <v>6.8493150684931503E-2</v>
      </c>
    </row>
    <row r="6" spans="2:6" ht="15.75" customHeight="1" x14ac:dyDescent="0.2">
      <c r="B6" s="8" t="s">
        <v>6</v>
      </c>
      <c r="C6" s="9">
        <v>3900</v>
      </c>
      <c r="D6" s="10">
        <f t="shared" si="0"/>
        <v>0.17808219178082191</v>
      </c>
    </row>
    <row r="7" spans="2:6" ht="15.75" customHeight="1" x14ac:dyDescent="0.2">
      <c r="B7" s="8" t="s">
        <v>7</v>
      </c>
      <c r="C7" s="9">
        <v>1200</v>
      </c>
      <c r="D7" s="10">
        <f t="shared" si="0"/>
        <v>5.4794520547945202E-2</v>
      </c>
    </row>
    <row r="8" spans="2:6" ht="15.75" customHeight="1" x14ac:dyDescent="0.2">
      <c r="B8" s="8" t="s">
        <v>8</v>
      </c>
      <c r="C8" s="9">
        <v>2800</v>
      </c>
      <c r="D8" s="10">
        <f t="shared" si="0"/>
        <v>0.12785388127853881</v>
      </c>
    </row>
    <row r="9" spans="2:6" ht="15.75" customHeight="1" x14ac:dyDescent="0.2">
      <c r="B9" s="8" t="s">
        <v>9</v>
      </c>
      <c r="C9" s="9">
        <v>3500</v>
      </c>
      <c r="D9" s="10">
        <f t="shared" si="0"/>
        <v>0.15981735159817351</v>
      </c>
    </row>
    <row r="10" spans="2:6" ht="15.75" customHeight="1" x14ac:dyDescent="0.2">
      <c r="B10" s="8" t="s">
        <v>10</v>
      </c>
      <c r="C10" s="9">
        <v>3200</v>
      </c>
      <c r="D10" s="10">
        <f t="shared" si="0"/>
        <v>0.14611872146118721</v>
      </c>
    </row>
    <row r="11" spans="2:6" ht="15.75" customHeight="1" x14ac:dyDescent="0.2">
      <c r="B11" s="5" t="s">
        <v>11</v>
      </c>
      <c r="C11" s="6">
        <f>SUM(C12:C14)</f>
        <v>4600</v>
      </c>
      <c r="D11" s="7">
        <f>+C11/C2</f>
        <v>0.17358490566037735</v>
      </c>
    </row>
    <row r="12" spans="2:6" ht="15.75" customHeight="1" x14ac:dyDescent="0.2">
      <c r="B12" s="8" t="s">
        <v>12</v>
      </c>
      <c r="C12" s="11">
        <v>1600</v>
      </c>
      <c r="D12" s="10">
        <f>+C12/$C$11</f>
        <v>0.34782608695652173</v>
      </c>
    </row>
    <row r="13" spans="2:6" ht="15.75" customHeight="1" x14ac:dyDescent="0.2">
      <c r="B13" s="8" t="s">
        <v>13</v>
      </c>
      <c r="C13" s="11">
        <v>1500</v>
      </c>
      <c r="D13" s="10">
        <f>+C13/$C$11</f>
        <v>0.32608695652173914</v>
      </c>
    </row>
    <row r="14" spans="2:6" ht="15.75" customHeight="1" x14ac:dyDescent="0.2">
      <c r="B14" s="8" t="s">
        <v>14</v>
      </c>
      <c r="C14" s="11">
        <v>1500</v>
      </c>
      <c r="D14" s="10">
        <f>+C14/$C$11</f>
        <v>0.32608695652173914</v>
      </c>
    </row>
    <row r="15" spans="2:6" ht="15.75" customHeight="1" x14ac:dyDescent="0.2">
      <c r="B15" s="3" t="s">
        <v>15</v>
      </c>
      <c r="C15" s="4">
        <f>SUM(C16:C21)</f>
        <v>8590</v>
      </c>
      <c r="D15" s="12">
        <f>+C15/C2</f>
        <v>0.32415094339622641</v>
      </c>
    </row>
    <row r="16" spans="2:6" ht="15.75" customHeight="1" x14ac:dyDescent="0.2">
      <c r="B16" s="8" t="s">
        <v>16</v>
      </c>
      <c r="C16" s="11">
        <v>2500</v>
      </c>
      <c r="D16" s="10">
        <f t="shared" ref="D16:D21" si="1">+C16/$C$15</f>
        <v>0.29103608847497092</v>
      </c>
    </row>
    <row r="17" spans="2:7" ht="15.75" customHeight="1" x14ac:dyDescent="0.2">
      <c r="B17" s="8" t="s">
        <v>17</v>
      </c>
      <c r="C17" s="11">
        <v>1800</v>
      </c>
      <c r="D17" s="10">
        <f t="shared" si="1"/>
        <v>0.20954598370197905</v>
      </c>
    </row>
    <row r="18" spans="2:7" ht="15.75" customHeight="1" x14ac:dyDescent="0.2">
      <c r="B18" s="8" t="s">
        <v>18</v>
      </c>
      <c r="C18" s="11">
        <v>1200</v>
      </c>
      <c r="D18" s="10">
        <f t="shared" si="1"/>
        <v>0.13969732246798602</v>
      </c>
    </row>
    <row r="19" spans="2:7" ht="15.75" customHeight="1" x14ac:dyDescent="0.2">
      <c r="B19" s="8" t="s">
        <v>19</v>
      </c>
      <c r="C19" s="11">
        <v>1300</v>
      </c>
      <c r="D19" s="10">
        <f t="shared" si="1"/>
        <v>0.15133876600698487</v>
      </c>
    </row>
    <row r="20" spans="2:7" ht="15.75" customHeight="1" x14ac:dyDescent="0.2">
      <c r="B20" s="8" t="s">
        <v>20</v>
      </c>
      <c r="C20" s="11">
        <v>900</v>
      </c>
      <c r="D20" s="10">
        <f t="shared" si="1"/>
        <v>0.10477299185098952</v>
      </c>
    </row>
    <row r="21" spans="2:7" ht="15.75" customHeight="1" x14ac:dyDescent="0.2">
      <c r="B21" s="8" t="s">
        <v>21</v>
      </c>
      <c r="C21" s="11">
        <v>890</v>
      </c>
      <c r="D21" s="10">
        <f t="shared" si="1"/>
        <v>0.10360884749708964</v>
      </c>
    </row>
    <row r="22" spans="2:7" ht="15.75" customHeight="1" x14ac:dyDescent="0.2">
      <c r="B22" s="13" t="s">
        <v>22</v>
      </c>
      <c r="C22" s="14">
        <f>+C2-C15</f>
        <v>17910</v>
      </c>
      <c r="D22" s="15">
        <f>+C22/C2</f>
        <v>0.67584905660377359</v>
      </c>
      <c r="E22" s="16">
        <f>+D22</f>
        <v>0.67584905660377359</v>
      </c>
      <c r="F22" s="5" t="s">
        <v>23</v>
      </c>
    </row>
    <row r="23" spans="2:7" ht="15.75" customHeight="1" x14ac:dyDescent="0.2">
      <c r="B23" s="13" t="s">
        <v>24</v>
      </c>
      <c r="C23" s="14">
        <f>SUM(C24:C28)</f>
        <v>12938.300000000001</v>
      </c>
      <c r="D23" s="15">
        <f>+C23/C2</f>
        <v>0.48823773584905666</v>
      </c>
      <c r="E23" s="14">
        <f>+C23*12</f>
        <v>155259.6</v>
      </c>
      <c r="F23" s="5" t="s">
        <v>2</v>
      </c>
    </row>
    <row r="24" spans="2:7" ht="15.75" customHeight="1" x14ac:dyDescent="0.2">
      <c r="B24" s="8" t="s">
        <v>25</v>
      </c>
      <c r="C24" s="11">
        <f>((C70*2)+(C71*2))*1.33</f>
        <v>9988.3000000000011</v>
      </c>
      <c r="E24" s="11"/>
    </row>
    <row r="25" spans="2:7" ht="15.75" customHeight="1" x14ac:dyDescent="0.2">
      <c r="B25" s="8" t="s">
        <v>26</v>
      </c>
      <c r="C25" s="11">
        <v>2000</v>
      </c>
      <c r="E25" s="11"/>
    </row>
    <row r="26" spans="2:7" ht="15.75" customHeight="1" x14ac:dyDescent="0.2">
      <c r="B26" s="8" t="s">
        <v>27</v>
      </c>
      <c r="C26" s="11">
        <v>700</v>
      </c>
      <c r="E26" s="11">
        <f>+C23+C29</f>
        <v>15825.300000000001</v>
      </c>
      <c r="G26" s="1">
        <f>+E23+E29</f>
        <v>189903.6</v>
      </c>
    </row>
    <row r="27" spans="2:7" ht="15.75" customHeight="1" x14ac:dyDescent="0.2">
      <c r="B27" s="8" t="s">
        <v>28</v>
      </c>
      <c r="C27" s="11">
        <v>100</v>
      </c>
      <c r="E27" s="11"/>
    </row>
    <row r="28" spans="2:7" ht="15.75" customHeight="1" x14ac:dyDescent="0.2">
      <c r="B28" s="8" t="s">
        <v>29</v>
      </c>
      <c r="C28" s="11">
        <v>150</v>
      </c>
      <c r="E28" s="11"/>
    </row>
    <row r="29" spans="2:7" ht="15.75" customHeight="1" x14ac:dyDescent="0.2">
      <c r="B29" s="13" t="s">
        <v>30</v>
      </c>
      <c r="C29" s="14">
        <f>SUM(C30:C34)</f>
        <v>2887</v>
      </c>
      <c r="D29" s="15">
        <f>+C29/C2</f>
        <v>0.10894339622641509</v>
      </c>
      <c r="E29" s="14">
        <f>+C29*12</f>
        <v>34644</v>
      </c>
      <c r="F29" s="5" t="s">
        <v>2</v>
      </c>
    </row>
    <row r="30" spans="2:7" ht="15.75" customHeight="1" x14ac:dyDescent="0.2">
      <c r="B30" s="8" t="s">
        <v>31</v>
      </c>
      <c r="C30" s="11">
        <v>1500</v>
      </c>
    </row>
    <row r="31" spans="2:7" ht="15.75" customHeight="1" x14ac:dyDescent="0.2">
      <c r="B31" s="8" t="s">
        <v>32</v>
      </c>
      <c r="C31" s="11">
        <v>350</v>
      </c>
    </row>
    <row r="32" spans="2:7" ht="15.75" customHeight="1" x14ac:dyDescent="0.2">
      <c r="B32" s="8" t="s">
        <v>33</v>
      </c>
      <c r="C32" s="11">
        <v>450</v>
      </c>
    </row>
    <row r="33" spans="1:6" ht="15.75" customHeight="1" x14ac:dyDescent="0.2">
      <c r="B33" s="8" t="s">
        <v>34</v>
      </c>
      <c r="C33" s="11">
        <v>139</v>
      </c>
    </row>
    <row r="34" spans="1:6" ht="16.5" customHeight="1" x14ac:dyDescent="0.2">
      <c r="B34" s="8" t="s">
        <v>35</v>
      </c>
      <c r="C34" s="11">
        <v>448</v>
      </c>
    </row>
    <row r="35" spans="1:6" ht="16.5" customHeight="1" x14ac:dyDescent="0.2">
      <c r="B35" s="3" t="s">
        <v>36</v>
      </c>
      <c r="C35" s="4">
        <f>+C22-C23-C29</f>
        <v>2084.6999999999989</v>
      </c>
      <c r="D35" s="17">
        <f>+C35/C2</f>
        <v>7.8667924528301847E-2</v>
      </c>
    </row>
    <row r="36" spans="1:6" ht="15.75" customHeight="1" x14ac:dyDescent="0.2">
      <c r="B36" s="3" t="s">
        <v>37</v>
      </c>
      <c r="C36" s="1">
        <f>+C68</f>
        <v>800</v>
      </c>
    </row>
    <row r="37" spans="1:6" ht="15.75" customHeight="1" x14ac:dyDescent="0.2">
      <c r="B37" s="3" t="s">
        <v>38</v>
      </c>
      <c r="C37" s="1">
        <v>50</v>
      </c>
    </row>
    <row r="38" spans="1:6" ht="15.75" customHeight="1" x14ac:dyDescent="0.2">
      <c r="B38" s="3" t="s">
        <v>39</v>
      </c>
      <c r="C38" s="4">
        <f>+C35-C36-C37</f>
        <v>1234.6999999999989</v>
      </c>
      <c r="D38" s="12">
        <f>+C38/C2</f>
        <v>4.659245283018864E-2</v>
      </c>
    </row>
    <row r="39" spans="1:6" ht="15.75" customHeight="1" x14ac:dyDescent="0.2">
      <c r="B39" s="3" t="s">
        <v>40</v>
      </c>
      <c r="C39" s="1">
        <f>+C38*0.25</f>
        <v>308.67499999999973</v>
      </c>
      <c r="D39" s="12"/>
    </row>
    <row r="40" spans="1:6" ht="15.75" customHeight="1" x14ac:dyDescent="0.2">
      <c r="B40" s="3" t="s">
        <v>41</v>
      </c>
      <c r="C40" s="4">
        <f>+C38-C39</f>
        <v>926.02499999999918</v>
      </c>
      <c r="D40" s="12">
        <f>+C40/C2</f>
        <v>3.4944339622641478E-2</v>
      </c>
    </row>
    <row r="42" spans="1:6" ht="15.75" customHeight="1" x14ac:dyDescent="0.2">
      <c r="B42" t="s">
        <v>42</v>
      </c>
      <c r="C42" s="18">
        <v>6500</v>
      </c>
    </row>
    <row r="43" spans="1:6" ht="15.75" customHeight="1" x14ac:dyDescent="0.2">
      <c r="B43" t="s">
        <v>43</v>
      </c>
      <c r="C43" s="18">
        <v>1340</v>
      </c>
    </row>
    <row r="44" spans="1:6" ht="15.75" customHeight="1" x14ac:dyDescent="0.2">
      <c r="B44" t="s">
        <v>44</v>
      </c>
      <c r="C44" s="18">
        <v>1230</v>
      </c>
    </row>
    <row r="45" spans="1:6" ht="15.75" customHeight="1" x14ac:dyDescent="0.2">
      <c r="B45" t="s">
        <v>45</v>
      </c>
      <c r="C45" s="18">
        <v>1650</v>
      </c>
    </row>
    <row r="46" spans="1:6" ht="16.5" customHeight="1" x14ac:dyDescent="0.2">
      <c r="B46" t="s">
        <v>46</v>
      </c>
      <c r="C46" s="18">
        <f>+C44/C69</f>
        <v>492</v>
      </c>
    </row>
    <row r="47" spans="1:6" ht="15.75" customHeight="1" x14ac:dyDescent="0.2">
      <c r="A47" s="115" t="s">
        <v>47</v>
      </c>
      <c r="B47" s="19" t="s">
        <v>48</v>
      </c>
      <c r="C47" s="20">
        <v>454</v>
      </c>
    </row>
    <row r="48" spans="1:6" ht="15.75" customHeight="1" x14ac:dyDescent="0.2">
      <c r="A48" s="115"/>
      <c r="B48" s="5" t="s">
        <v>49</v>
      </c>
      <c r="C48" s="21">
        <v>345</v>
      </c>
      <c r="D48" s="22"/>
      <c r="E48" s="23">
        <f>+C48*12</f>
        <v>4140</v>
      </c>
      <c r="F48" s="5" t="s">
        <v>2</v>
      </c>
    </row>
    <row r="49" spans="1:6" ht="15.75" customHeight="1" x14ac:dyDescent="0.2">
      <c r="A49" s="115"/>
      <c r="B49" t="s">
        <v>50</v>
      </c>
      <c r="C49" s="24">
        <f>+C48/C69</f>
        <v>138</v>
      </c>
    </row>
    <row r="50" spans="1:6" ht="15.75" customHeight="1" x14ac:dyDescent="0.2">
      <c r="A50" s="115"/>
      <c r="B50" t="s">
        <v>51</v>
      </c>
      <c r="C50" s="24">
        <v>30</v>
      </c>
    </row>
    <row r="51" spans="1:6" ht="15.75" customHeight="1" x14ac:dyDescent="0.2">
      <c r="A51" s="115"/>
      <c r="B51" t="s">
        <v>52</v>
      </c>
      <c r="C51" s="24">
        <v>180</v>
      </c>
    </row>
    <row r="52" spans="1:6" ht="15.75" customHeight="1" x14ac:dyDescent="0.2">
      <c r="A52" s="115"/>
      <c r="B52" t="s">
        <v>53</v>
      </c>
      <c r="C52" s="25">
        <f>+C2/C47</f>
        <v>58.370044052863435</v>
      </c>
    </row>
    <row r="53" spans="1:6" ht="15.75" customHeight="1" x14ac:dyDescent="0.2">
      <c r="A53" s="115"/>
      <c r="B53" t="s">
        <v>54</v>
      </c>
      <c r="C53" s="25">
        <f>+C3/C48</f>
        <v>63.478260869565219</v>
      </c>
    </row>
    <row r="54" spans="1:6" ht="15.75" customHeight="1" x14ac:dyDescent="0.2">
      <c r="A54" s="115"/>
      <c r="B54" t="s">
        <v>55</v>
      </c>
      <c r="C54" s="25">
        <f>+C12/C50</f>
        <v>53.333333333333336</v>
      </c>
    </row>
    <row r="55" spans="1:6" ht="16.5" customHeight="1" x14ac:dyDescent="0.2">
      <c r="A55" s="115"/>
      <c r="B55" s="26" t="s">
        <v>56</v>
      </c>
      <c r="C55" s="27">
        <f>+(C11-C12)/C51</f>
        <v>16.666666666666668</v>
      </c>
    </row>
    <row r="56" spans="1:6" ht="15.75" customHeight="1" x14ac:dyDescent="0.2">
      <c r="A56" s="28"/>
      <c r="B56" t="s">
        <v>57</v>
      </c>
      <c r="C56" s="1">
        <f>+E2/C43</f>
        <v>237.31343283582089</v>
      </c>
    </row>
    <row r="57" spans="1:6" ht="15.75" customHeight="1" x14ac:dyDescent="0.2">
      <c r="A57" s="28"/>
      <c r="B57" t="s">
        <v>58</v>
      </c>
      <c r="C57" s="1">
        <f>+E3/C44</f>
        <v>213.65853658536585</v>
      </c>
    </row>
    <row r="58" spans="1:6" ht="15.75" customHeight="1" x14ac:dyDescent="0.2">
      <c r="B58" t="s">
        <v>59</v>
      </c>
      <c r="C58" s="29">
        <f>E2/(C52*C43)</f>
        <v>4.0656716417910452</v>
      </c>
    </row>
    <row r="59" spans="1:6" ht="15.75" customHeight="1" x14ac:dyDescent="0.2">
      <c r="B59" s="5" t="s">
        <v>60</v>
      </c>
      <c r="C59" s="23">
        <f>+C58*C43</f>
        <v>5448.0000000000009</v>
      </c>
      <c r="D59" s="22"/>
      <c r="E59" s="5">
        <f>+C59/12</f>
        <v>454.00000000000006</v>
      </c>
      <c r="F59" s="5" t="s">
        <v>61</v>
      </c>
    </row>
    <row r="60" spans="1:6" ht="15.75" customHeight="1" x14ac:dyDescent="0.2">
      <c r="B60" t="s">
        <v>62</v>
      </c>
      <c r="C60" s="30">
        <f>E3/(C44*C53)</f>
        <v>3.3658536585365852</v>
      </c>
    </row>
    <row r="61" spans="1:6" ht="15.75" customHeight="1" x14ac:dyDescent="0.2">
      <c r="B61" t="s">
        <v>63</v>
      </c>
      <c r="C61" s="30">
        <f>+C45/C44</f>
        <v>1.3414634146341464</v>
      </c>
    </row>
    <row r="62" spans="1:6" ht="15.75" customHeight="1" x14ac:dyDescent="0.2">
      <c r="B62" t="s">
        <v>64</v>
      </c>
      <c r="C62" s="1">
        <v>1150</v>
      </c>
      <c r="D62" s="2">
        <f>+C62/C2</f>
        <v>4.3396226415094337E-2</v>
      </c>
    </row>
    <row r="63" spans="1:6" ht="15.75" customHeight="1" x14ac:dyDescent="0.2">
      <c r="B63" t="s">
        <v>65</v>
      </c>
      <c r="C63" s="1">
        <v>360</v>
      </c>
      <c r="D63" s="2">
        <f>+C63/C2</f>
        <v>1.3584905660377358E-2</v>
      </c>
    </row>
    <row r="64" spans="1:6" ht="15.75" customHeight="1" x14ac:dyDescent="0.2">
      <c r="B64" s="5" t="s">
        <v>66</v>
      </c>
      <c r="C64" s="6">
        <f>+C62-C63</f>
        <v>790</v>
      </c>
      <c r="D64" s="22">
        <f>+C64/C2</f>
        <v>2.9811320754716982E-2</v>
      </c>
      <c r="E64" s="6">
        <f>+C64*12</f>
        <v>9480</v>
      </c>
      <c r="F64" s="5" t="s">
        <v>2</v>
      </c>
    </row>
    <row r="65" spans="1:13" ht="15.75" customHeight="1" x14ac:dyDescent="0.2">
      <c r="B65" t="s">
        <v>67</v>
      </c>
      <c r="C65" s="1">
        <v>854</v>
      </c>
      <c r="D65" s="2">
        <f>+C65/C2</f>
        <v>3.2226415094339621E-2</v>
      </c>
    </row>
    <row r="66" spans="1:13" ht="15.75" customHeight="1" x14ac:dyDescent="0.2">
      <c r="B66" s="5" t="s">
        <v>68</v>
      </c>
      <c r="C66" s="6">
        <f>+C3/C69</f>
        <v>8760</v>
      </c>
      <c r="D66" s="22"/>
      <c r="E66" s="6">
        <f>+C66*12</f>
        <v>105120</v>
      </c>
      <c r="F66" s="5" t="s">
        <v>2</v>
      </c>
    </row>
    <row r="67" spans="1:13" ht="15.75" customHeight="1" x14ac:dyDescent="0.2">
      <c r="B67" t="s">
        <v>69</v>
      </c>
      <c r="C67" s="29">
        <f>+C3/E70</f>
        <v>3.1215256991362352</v>
      </c>
    </row>
    <row r="68" spans="1:13" ht="15.75" customHeight="1" x14ac:dyDescent="0.2">
      <c r="B68" t="s">
        <v>70</v>
      </c>
      <c r="C68" s="1">
        <v>800</v>
      </c>
    </row>
    <row r="69" spans="1:13" ht="15.75" customHeight="1" x14ac:dyDescent="0.2">
      <c r="B69" t="s">
        <v>71</v>
      </c>
      <c r="C69" s="31">
        <v>2.5</v>
      </c>
    </row>
    <row r="70" spans="1:13" ht="15.75" customHeight="1" x14ac:dyDescent="0.2">
      <c r="B70" t="s">
        <v>72</v>
      </c>
      <c r="C70" s="1">
        <v>2130</v>
      </c>
      <c r="E70" s="1">
        <f>+((C70*2)*1.33)+(C25+C26)/2</f>
        <v>7015.8</v>
      </c>
      <c r="F70" t="s">
        <v>73</v>
      </c>
    </row>
    <row r="71" spans="1:13" ht="15.75" customHeight="1" x14ac:dyDescent="0.2">
      <c r="B71" t="s">
        <v>74</v>
      </c>
      <c r="C71" s="1">
        <v>1625</v>
      </c>
      <c r="E71" s="1">
        <f>+(C71*2)*1.33</f>
        <v>4322.5</v>
      </c>
    </row>
    <row r="72" spans="1:13" ht="16.5" customHeight="1" x14ac:dyDescent="0.2"/>
    <row r="73" spans="1:13" ht="15.75" customHeight="1" x14ac:dyDescent="0.2">
      <c r="B73" s="32" t="s">
        <v>75</v>
      </c>
      <c r="C73" s="33"/>
      <c r="D73" s="34"/>
      <c r="E73" s="35" t="s">
        <v>76</v>
      </c>
      <c r="K73" s="3" t="s">
        <v>77</v>
      </c>
    </row>
    <row r="74" spans="1:13" ht="15.75" customHeight="1" x14ac:dyDescent="0.2">
      <c r="A74" t="s">
        <v>78</v>
      </c>
      <c r="B74" s="36" t="s">
        <v>79</v>
      </c>
      <c r="C74" s="18">
        <f>+C43</f>
        <v>1340</v>
      </c>
      <c r="D74" s="2">
        <f>+C74/C80</f>
        <v>0.20615384615384616</v>
      </c>
      <c r="E74" s="37"/>
      <c r="F74" s="38" t="s">
        <v>80</v>
      </c>
      <c r="G74" s="38" t="s">
        <v>81</v>
      </c>
      <c r="H74" s="38" t="s">
        <v>82</v>
      </c>
      <c r="I74" s="38" t="s">
        <v>83</v>
      </c>
      <c r="J74" s="38"/>
      <c r="K74" s="38" t="s">
        <v>84</v>
      </c>
      <c r="L74" s="38" t="s">
        <v>85</v>
      </c>
    </row>
    <row r="75" spans="1:13" ht="15.75" customHeight="1" x14ac:dyDescent="0.2">
      <c r="A75">
        <v>77</v>
      </c>
      <c r="B75" s="39" t="s">
        <v>86</v>
      </c>
      <c r="C75" s="40">
        <v>100</v>
      </c>
      <c r="D75" s="41">
        <f>+C75/$C$74</f>
        <v>7.4626865671641784E-2</v>
      </c>
      <c r="E75" s="42" t="s">
        <v>87</v>
      </c>
      <c r="F75" s="43">
        <v>0.2</v>
      </c>
      <c r="G75" s="44">
        <f>+(E2*F75)/C75</f>
        <v>636</v>
      </c>
      <c r="H75" s="45">
        <f>E2*F75</f>
        <v>63600</v>
      </c>
      <c r="I75" s="46">
        <f>H75/(C75*$A$75)</f>
        <v>8.2597402597402603</v>
      </c>
      <c r="K75" t="s">
        <v>88</v>
      </c>
      <c r="L75" s="18">
        <f>+C74</f>
        <v>1340</v>
      </c>
    </row>
    <row r="76" spans="1:13" ht="15.75" customHeight="1" x14ac:dyDescent="0.2">
      <c r="A76">
        <v>70</v>
      </c>
      <c r="B76" s="39" t="s">
        <v>89</v>
      </c>
      <c r="C76" s="40">
        <v>340</v>
      </c>
      <c r="D76" s="41">
        <f>+C76/$C$74</f>
        <v>0.2537313432835821</v>
      </c>
      <c r="E76" s="47" t="s">
        <v>90</v>
      </c>
      <c r="F76" s="43">
        <v>0.5</v>
      </c>
      <c r="G76" s="44">
        <f>+(E2*F76)/C76</f>
        <v>467.64705882352939</v>
      </c>
      <c r="H76" s="45">
        <f>E2*F76</f>
        <v>159000</v>
      </c>
      <c r="I76" s="46">
        <f>H76/(C76*A76)</f>
        <v>6.6806722689075633</v>
      </c>
      <c r="K76" t="s">
        <v>91</v>
      </c>
      <c r="L76" s="18">
        <f>+C78</f>
        <v>550</v>
      </c>
    </row>
    <row r="77" spans="1:13" ht="15.75" customHeight="1" x14ac:dyDescent="0.2">
      <c r="A77">
        <v>55</v>
      </c>
      <c r="B77" s="39" t="s">
        <v>92</v>
      </c>
      <c r="C77" s="40">
        <v>900</v>
      </c>
      <c r="D77" s="41">
        <f>+C77/$C$74</f>
        <v>0.67164179104477617</v>
      </c>
      <c r="E77" s="47" t="s">
        <v>93</v>
      </c>
      <c r="F77" s="43">
        <v>0.3</v>
      </c>
      <c r="G77" s="44">
        <f>+(E2*F77)/C77</f>
        <v>106</v>
      </c>
      <c r="H77" s="45">
        <f>E2*F77</f>
        <v>95400</v>
      </c>
      <c r="I77" s="46">
        <f>H77/(C77*A77)</f>
        <v>1.9272727272727272</v>
      </c>
      <c r="K77" t="s">
        <v>94</v>
      </c>
      <c r="L77" s="18">
        <f>+C79</f>
        <v>4610</v>
      </c>
    </row>
    <row r="78" spans="1:13" ht="15.75" customHeight="1" x14ac:dyDescent="0.2">
      <c r="B78" s="36" t="s">
        <v>95</v>
      </c>
      <c r="C78" s="48">
        <v>550</v>
      </c>
      <c r="D78" s="2">
        <f>+C78/C80</f>
        <v>8.461538461538462E-2</v>
      </c>
      <c r="E78" s="37"/>
      <c r="F78" s="49"/>
    </row>
    <row r="79" spans="1:13" ht="15.75" customHeight="1" x14ac:dyDescent="0.2">
      <c r="B79" s="36" t="s">
        <v>96</v>
      </c>
      <c r="C79" s="18">
        <v>4610</v>
      </c>
      <c r="D79" s="2">
        <f>+C79/C80</f>
        <v>0.70923076923076922</v>
      </c>
      <c r="E79" s="37"/>
      <c r="F79" s="49"/>
      <c r="K79" s="3" t="s">
        <v>97</v>
      </c>
    </row>
    <row r="80" spans="1:13" ht="16.5" customHeight="1" x14ac:dyDescent="0.2">
      <c r="B80" s="50" t="s">
        <v>98</v>
      </c>
      <c r="C80" s="51">
        <f>+C74+C78+C79</f>
        <v>6500</v>
      </c>
      <c r="D80" s="52">
        <f>+D74+D78+D79</f>
        <v>1</v>
      </c>
      <c r="E80" s="53"/>
      <c r="F80" s="49"/>
      <c r="K80" s="54" t="s">
        <v>99</v>
      </c>
      <c r="L80" s="54" t="s">
        <v>100</v>
      </c>
      <c r="M80" s="54" t="s">
        <v>101</v>
      </c>
    </row>
    <row r="81" spans="2:13" ht="15.75" customHeight="1" x14ac:dyDescent="0.2">
      <c r="B81" s="32" t="s">
        <v>102</v>
      </c>
      <c r="C81" s="55"/>
      <c r="K81" t="s">
        <v>103</v>
      </c>
      <c r="L81" s="18">
        <f>+C75</f>
        <v>100</v>
      </c>
      <c r="M81" s="56">
        <f>+H75</f>
        <v>63600</v>
      </c>
    </row>
    <row r="82" spans="2:13" ht="15.75" customHeight="1" x14ac:dyDescent="0.2">
      <c r="B82" s="36" t="s">
        <v>104</v>
      </c>
      <c r="C82" s="24">
        <v>236</v>
      </c>
      <c r="K82" t="s">
        <v>105</v>
      </c>
      <c r="L82" s="18">
        <f>+C76</f>
        <v>340</v>
      </c>
      <c r="M82" s="56">
        <f>+H76</f>
        <v>159000</v>
      </c>
    </row>
    <row r="83" spans="2:13" ht="15.75" customHeight="1" x14ac:dyDescent="0.2">
      <c r="B83" s="36" t="s">
        <v>106</v>
      </c>
      <c r="C83" s="24">
        <f>+C82/12</f>
        <v>19.666666666666668</v>
      </c>
      <c r="K83" t="s">
        <v>107</v>
      </c>
      <c r="L83" s="18">
        <f>+C77</f>
        <v>900</v>
      </c>
      <c r="M83" s="56">
        <f>+H77</f>
        <v>95400</v>
      </c>
    </row>
    <row r="84" spans="2:13" ht="15.75" customHeight="1" x14ac:dyDescent="0.2">
      <c r="B84" s="36" t="s">
        <v>108</v>
      </c>
      <c r="C84" s="24">
        <f>8*60</f>
        <v>480</v>
      </c>
    </row>
    <row r="85" spans="2:13" ht="15.75" customHeight="1" x14ac:dyDescent="0.2">
      <c r="B85" s="36" t="s">
        <v>109</v>
      </c>
      <c r="C85" s="24">
        <f>+C84*C82*C69</f>
        <v>283200</v>
      </c>
    </row>
    <row r="86" spans="2:13" ht="15.75" customHeight="1" x14ac:dyDescent="0.2">
      <c r="B86" s="36" t="s">
        <v>110</v>
      </c>
      <c r="C86" s="57">
        <v>0.75</v>
      </c>
    </row>
    <row r="87" spans="2:13" ht="15.75" customHeight="1" x14ac:dyDescent="0.2">
      <c r="B87" s="36" t="s">
        <v>111</v>
      </c>
      <c r="C87" s="24">
        <f>+C85*C86</f>
        <v>212400</v>
      </c>
    </row>
    <row r="88" spans="2:13" ht="15.75" customHeight="1" x14ac:dyDescent="0.2">
      <c r="B88" s="36" t="s">
        <v>112</v>
      </c>
      <c r="C88" s="57">
        <v>0.75</v>
      </c>
    </row>
    <row r="89" spans="2:13" ht="15.75" customHeight="1" x14ac:dyDescent="0.2">
      <c r="B89" s="36" t="s">
        <v>113</v>
      </c>
      <c r="C89" s="57">
        <f>+(1-C88)</f>
        <v>0.25</v>
      </c>
    </row>
    <row r="90" spans="2:13" ht="15.75" customHeight="1" x14ac:dyDescent="0.2">
      <c r="B90" s="36" t="s">
        <v>114</v>
      </c>
      <c r="C90" s="24">
        <f>+C87*C88</f>
        <v>159300</v>
      </c>
    </row>
    <row r="91" spans="2:13" ht="16.5" customHeight="1" x14ac:dyDescent="0.2">
      <c r="B91" s="58" t="s">
        <v>115</v>
      </c>
      <c r="C91" s="27">
        <f>(E23+E29)/C87</f>
        <v>0.89408474576271191</v>
      </c>
    </row>
    <row r="92" spans="2:13" ht="15.75" customHeight="1" x14ac:dyDescent="0.2">
      <c r="B92" s="32" t="s">
        <v>116</v>
      </c>
      <c r="C92" s="59" t="s">
        <v>117</v>
      </c>
      <c r="D92" s="60" t="s">
        <v>118</v>
      </c>
      <c r="E92" s="61" t="s">
        <v>119</v>
      </c>
      <c r="F92" s="62" t="s">
        <v>120</v>
      </c>
      <c r="G92" s="63"/>
      <c r="H92" s="64"/>
      <c r="I92" s="8" t="s">
        <v>121</v>
      </c>
    </row>
    <row r="93" spans="2:13" ht="15.75" customHeight="1" x14ac:dyDescent="0.2">
      <c r="B93" s="36" t="s">
        <v>122</v>
      </c>
      <c r="C93" s="65">
        <v>20</v>
      </c>
      <c r="D93" s="25">
        <f>+C93*$C$91</f>
        <v>17.881694915254236</v>
      </c>
      <c r="E93" s="66">
        <f>+D93*1.15</f>
        <v>20.563949152542371</v>
      </c>
      <c r="F93" s="67">
        <f>+E93/0.5</f>
        <v>41.127898305084742</v>
      </c>
      <c r="G93" s="1">
        <f>+F93*1.21</f>
        <v>49.764756949152535</v>
      </c>
      <c r="H93" s="37" t="s">
        <v>123</v>
      </c>
      <c r="I93" s="1">
        <f>+E93*1.21</f>
        <v>24.882378474576267</v>
      </c>
    </row>
    <row r="94" spans="2:13" ht="15.75" customHeight="1" x14ac:dyDescent="0.2">
      <c r="B94" s="36" t="s">
        <v>124</v>
      </c>
      <c r="C94" s="65">
        <v>15</v>
      </c>
      <c r="D94" s="25">
        <f>+C94*$C$91</f>
        <v>13.411271186440679</v>
      </c>
      <c r="E94" s="66">
        <f>+D94*1.15</f>
        <v>15.42296186440678</v>
      </c>
      <c r="F94" s="67">
        <f>+E94/0.5</f>
        <v>30.84592372881356</v>
      </c>
      <c r="G94" s="1">
        <f>+F94*1.21</f>
        <v>37.323567711864406</v>
      </c>
      <c r="H94" s="37" t="s">
        <v>123</v>
      </c>
      <c r="I94" s="1">
        <f>+E94*1.21</f>
        <v>18.661783855932203</v>
      </c>
    </row>
    <row r="95" spans="2:13" ht="15.75" customHeight="1" x14ac:dyDescent="0.2">
      <c r="B95" s="36" t="s">
        <v>125</v>
      </c>
      <c r="C95" s="65">
        <v>60</v>
      </c>
      <c r="D95" s="25">
        <f>+C95*$C$91</f>
        <v>53.645084745762716</v>
      </c>
      <c r="E95" s="66">
        <f>+D95*1.15</f>
        <v>61.691847457627119</v>
      </c>
      <c r="F95" s="67">
        <f>+E95/0.5</f>
        <v>123.38369491525424</v>
      </c>
      <c r="G95" s="1">
        <f>+F95*1.21</f>
        <v>149.29427084745762</v>
      </c>
      <c r="H95" s="37" t="s">
        <v>123</v>
      </c>
      <c r="I95" s="1">
        <f>+E95*1.21</f>
        <v>74.647135423728812</v>
      </c>
    </row>
    <row r="96" spans="2:13" ht="15.75" customHeight="1" x14ac:dyDescent="0.2">
      <c r="B96" s="36" t="s">
        <v>126</v>
      </c>
      <c r="C96" s="65">
        <v>25</v>
      </c>
      <c r="D96" s="25">
        <f>+C96*$C$91</f>
        <v>22.352118644067797</v>
      </c>
      <c r="E96" s="66">
        <f>+D96*1.15</f>
        <v>25.704936440677965</v>
      </c>
      <c r="F96" s="67">
        <f>+E96/0.5</f>
        <v>51.40987288135593</v>
      </c>
      <c r="G96" s="1">
        <f>+F96*1.21</f>
        <v>62.205946186440677</v>
      </c>
      <c r="H96" s="37" t="s">
        <v>123</v>
      </c>
      <c r="I96" s="1">
        <f>+E96*1.21</f>
        <v>31.102973093220339</v>
      </c>
    </row>
    <row r="97" spans="2:9" ht="16.5" customHeight="1" x14ac:dyDescent="0.2">
      <c r="B97" s="58" t="s">
        <v>127</v>
      </c>
      <c r="C97" s="68">
        <v>20</v>
      </c>
      <c r="D97" s="27">
        <f>+C97*$C$91</f>
        <v>17.881694915254236</v>
      </c>
      <c r="E97" s="69">
        <f>+D97*1.15</f>
        <v>20.563949152542371</v>
      </c>
      <c r="F97" s="67">
        <f>+E97/0.5</f>
        <v>41.127898305084742</v>
      </c>
      <c r="G97" s="70">
        <f>+F97*1.21</f>
        <v>49.764756949152535</v>
      </c>
      <c r="H97" s="53" t="s">
        <v>123</v>
      </c>
      <c r="I97" s="1">
        <f>+E97*1.21</f>
        <v>24.882378474576267</v>
      </c>
    </row>
    <row r="98" spans="2:9" ht="15.75" customHeight="1" x14ac:dyDescent="0.2">
      <c r="B98" s="32" t="s">
        <v>128</v>
      </c>
      <c r="C98" s="59" t="s">
        <v>129</v>
      </c>
      <c r="D98" s="71" t="s">
        <v>130</v>
      </c>
      <c r="E98" s="72" t="s">
        <v>131</v>
      </c>
      <c r="F98" s="35"/>
    </row>
    <row r="99" spans="2:9" ht="15.75" customHeight="1" x14ac:dyDescent="0.2">
      <c r="B99" s="36" t="s">
        <v>132</v>
      </c>
      <c r="C99" s="65">
        <v>20</v>
      </c>
      <c r="D99" s="65">
        <v>18</v>
      </c>
      <c r="F99" s="37"/>
    </row>
    <row r="100" spans="2:9" ht="15.75" customHeight="1" x14ac:dyDescent="0.2">
      <c r="B100" s="36" t="s">
        <v>133</v>
      </c>
      <c r="C100" s="65">
        <v>35</v>
      </c>
      <c r="D100" s="65">
        <v>10</v>
      </c>
      <c r="E100" s="1">
        <f>+(D99-D100)*C83*C53</f>
        <v>9987.2463768115958</v>
      </c>
      <c r="F100" s="37" t="s">
        <v>134</v>
      </c>
    </row>
    <row r="101" spans="2:9" ht="16.5" customHeight="1" x14ac:dyDescent="0.2">
      <c r="B101" s="58"/>
      <c r="C101" s="70"/>
      <c r="D101" s="52"/>
      <c r="E101" s="70">
        <f>+E100*12</f>
        <v>119846.95652173915</v>
      </c>
      <c r="F101" s="53" t="s">
        <v>135</v>
      </c>
    </row>
    <row r="102" spans="2:9" ht="15.75" customHeight="1" x14ac:dyDescent="0.2">
      <c r="B102" s="32" t="s">
        <v>136</v>
      </c>
      <c r="C102" s="33">
        <f>+(C23+C29)/E22</f>
        <v>23415.435510887775</v>
      </c>
      <c r="D102" s="73"/>
    </row>
    <row r="103" spans="2:9" ht="16.5" customHeight="1" x14ac:dyDescent="0.2">
      <c r="B103" s="58" t="s">
        <v>137</v>
      </c>
      <c r="C103" s="70">
        <f>+C2-C102</f>
        <v>3084.5644891122247</v>
      </c>
      <c r="D103" s="74">
        <f>+C103/C2</f>
        <v>0.11639865996649905</v>
      </c>
    </row>
    <row r="105" spans="2:9" ht="15.75" customHeight="1" x14ac:dyDescent="0.2">
      <c r="B105" s="75" t="s">
        <v>138</v>
      </c>
      <c r="C105" s="75" t="s">
        <v>139</v>
      </c>
      <c r="D105" s="75" t="s">
        <v>140</v>
      </c>
      <c r="E105" s="75" t="s">
        <v>141</v>
      </c>
    </row>
    <row r="106" spans="2:9" ht="15.75" customHeight="1" x14ac:dyDescent="0.2">
      <c r="B106" t="s">
        <v>142</v>
      </c>
      <c r="C106" s="1">
        <v>2200</v>
      </c>
      <c r="D106" s="2">
        <f>+C106/$C$10</f>
        <v>0.6875</v>
      </c>
      <c r="E106" s="2">
        <f>+C106/$C$3</f>
        <v>0.1004566210045662</v>
      </c>
    </row>
    <row r="107" spans="2:9" ht="15.75" customHeight="1" x14ac:dyDescent="0.2">
      <c r="B107" t="s">
        <v>143</v>
      </c>
      <c r="C107" s="1">
        <v>1000</v>
      </c>
      <c r="D107" s="2">
        <f>+C107/$C$10</f>
        <v>0.3125</v>
      </c>
      <c r="E107" s="2">
        <f>+C107/$C$3</f>
        <v>4.5662100456621002E-2</v>
      </c>
    </row>
    <row r="108" spans="2:9" ht="15.75" customHeight="1" x14ac:dyDescent="0.2">
      <c r="B108" s="76" t="s">
        <v>144</v>
      </c>
      <c r="C108" s="76">
        <f>C106+C107</f>
        <v>3200</v>
      </c>
      <c r="D108" s="76" t="str">
        <f>IF(C108=C10,"OK","REVISAR")</f>
        <v>OK</v>
      </c>
    </row>
    <row r="110" spans="2:9" ht="15.75" customHeight="1" x14ac:dyDescent="0.2">
      <c r="B110" s="76" t="s">
        <v>145</v>
      </c>
      <c r="C110" s="2">
        <f>+C106/$C$10</f>
        <v>0.6875</v>
      </c>
      <c r="D110" s="2" t="s">
        <v>146</v>
      </c>
    </row>
  </sheetData>
  <mergeCells count="1">
    <mergeCell ref="A47:A55"/>
  </mergeCells>
  <pageMargins left="0.7" right="0.7" top="0.75" bottom="0.75" header="0.511811023622047" footer="0.511811023622047"/>
  <pageSetup paperSize="9" fitToHeight="3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0"/>
  <sheetViews>
    <sheetView topLeftCell="A36" zoomScale="162" zoomScaleNormal="162" workbookViewId="0">
      <selection activeCell="C43" sqref="C43"/>
    </sheetView>
  </sheetViews>
  <sheetFormatPr baseColWidth="10" defaultColWidth="10.83203125" defaultRowHeight="16" x14ac:dyDescent="0.2"/>
  <cols>
    <col min="1" max="1" width="5.6640625" customWidth="1"/>
    <col min="2" max="2" width="52" customWidth="1"/>
    <col min="3" max="3" width="13" style="1" customWidth="1"/>
    <col min="4" max="4" width="10.6640625" style="2" customWidth="1"/>
    <col min="5" max="5" width="16.1640625" customWidth="1"/>
    <col min="6" max="6" width="9.1640625" customWidth="1"/>
    <col min="7" max="7" width="12.33203125" customWidth="1"/>
    <col min="8" max="8" width="13.6640625" customWidth="1"/>
  </cols>
  <sheetData>
    <row r="1" spans="2:7" ht="15.75" customHeight="1" x14ac:dyDescent="0.2">
      <c r="B1" t="s">
        <v>147</v>
      </c>
    </row>
    <row r="2" spans="2:7" ht="15.75" customHeight="1" x14ac:dyDescent="0.2">
      <c r="B2" s="3" t="s">
        <v>1</v>
      </c>
      <c r="C2" s="4">
        <f>C3+C11</f>
        <v>31000</v>
      </c>
      <c r="E2" s="1">
        <f>+C2*12</f>
        <v>372000</v>
      </c>
      <c r="F2" t="s">
        <v>2</v>
      </c>
    </row>
    <row r="3" spans="2:7" ht="15.75" customHeight="1" x14ac:dyDescent="0.2">
      <c r="B3" s="5" t="s">
        <v>3</v>
      </c>
      <c r="C3" s="6">
        <f>SUM(C4:C10)</f>
        <v>26450</v>
      </c>
      <c r="D3" s="7">
        <f>+C3/C2</f>
        <v>0.85322580645161294</v>
      </c>
      <c r="E3" s="6">
        <f>+C3*12</f>
        <v>317400</v>
      </c>
      <c r="F3" s="5" t="s">
        <v>2</v>
      </c>
    </row>
    <row r="4" spans="2:7" ht="15.75" customHeight="1" x14ac:dyDescent="0.2">
      <c r="B4" s="8" t="s">
        <v>4</v>
      </c>
      <c r="C4" s="9">
        <f t="shared" ref="C4:C10" si="0">+F4+G4</f>
        <v>7000</v>
      </c>
      <c r="D4" s="10">
        <f t="shared" ref="D4:D10" si="1">+C4/$C$3</f>
        <v>0.26465028355387521</v>
      </c>
      <c r="F4">
        <v>1200</v>
      </c>
      <c r="G4" s="9">
        <f>5800</f>
        <v>5800</v>
      </c>
    </row>
    <row r="5" spans="2:7" ht="15.75" customHeight="1" x14ac:dyDescent="0.2">
      <c r="B5" s="8" t="s">
        <v>5</v>
      </c>
      <c r="C5" s="9">
        <f t="shared" si="0"/>
        <v>2200</v>
      </c>
      <c r="D5" s="10">
        <f t="shared" si="1"/>
        <v>8.3175803402646506E-2</v>
      </c>
      <c r="F5">
        <v>700</v>
      </c>
      <c r="G5" s="9">
        <v>1500</v>
      </c>
    </row>
    <row r="6" spans="2:7" ht="15.75" customHeight="1" x14ac:dyDescent="0.2">
      <c r="B6" s="8" t="s">
        <v>6</v>
      </c>
      <c r="C6" s="9">
        <f t="shared" si="0"/>
        <v>4150</v>
      </c>
      <c r="D6" s="10">
        <f t="shared" si="1"/>
        <v>0.15689981096408318</v>
      </c>
      <c r="F6">
        <v>250</v>
      </c>
      <c r="G6" s="9">
        <v>3900</v>
      </c>
    </row>
    <row r="7" spans="2:7" ht="15.75" customHeight="1" x14ac:dyDescent="0.2">
      <c r="B7" s="8" t="s">
        <v>7</v>
      </c>
      <c r="C7" s="9">
        <f t="shared" si="0"/>
        <v>1300</v>
      </c>
      <c r="D7" s="10">
        <f t="shared" si="1"/>
        <v>4.9149338374291113E-2</v>
      </c>
      <c r="F7">
        <v>100</v>
      </c>
      <c r="G7" s="9">
        <v>1200</v>
      </c>
    </row>
    <row r="8" spans="2:7" ht="15.75" customHeight="1" x14ac:dyDescent="0.2">
      <c r="B8" s="8" t="s">
        <v>8</v>
      </c>
      <c r="C8" s="9">
        <f t="shared" si="0"/>
        <v>4000</v>
      </c>
      <c r="D8" s="10">
        <f t="shared" si="1"/>
        <v>0.15122873345935728</v>
      </c>
      <c r="F8">
        <v>1200</v>
      </c>
      <c r="G8" s="9">
        <v>2800</v>
      </c>
    </row>
    <row r="9" spans="2:7" ht="15.75" customHeight="1" x14ac:dyDescent="0.2">
      <c r="B9" s="8" t="s">
        <v>9</v>
      </c>
      <c r="C9" s="9">
        <f t="shared" si="0"/>
        <v>4000</v>
      </c>
      <c r="D9" s="10">
        <f t="shared" si="1"/>
        <v>0.15122873345935728</v>
      </c>
      <c r="F9">
        <v>500</v>
      </c>
      <c r="G9" s="9">
        <v>3500</v>
      </c>
    </row>
    <row r="10" spans="2:7" ht="15.75" customHeight="1" x14ac:dyDescent="0.2">
      <c r="B10" s="8" t="s">
        <v>10</v>
      </c>
      <c r="C10" s="9">
        <f t="shared" si="0"/>
        <v>3800</v>
      </c>
      <c r="D10" s="10">
        <f t="shared" si="1"/>
        <v>0.14366729678638943</v>
      </c>
      <c r="F10">
        <v>600</v>
      </c>
      <c r="G10" s="9">
        <v>3200</v>
      </c>
    </row>
    <row r="11" spans="2:7" ht="15.75" customHeight="1" x14ac:dyDescent="0.2">
      <c r="B11" s="5" t="s">
        <v>11</v>
      </c>
      <c r="C11" s="6">
        <f>SUM(C12:C14)</f>
        <v>4550</v>
      </c>
      <c r="D11" s="7">
        <f>+C11/C2</f>
        <v>0.14677419354838708</v>
      </c>
      <c r="F11">
        <f>SUM(F4:F10)</f>
        <v>4550</v>
      </c>
    </row>
    <row r="12" spans="2:7" ht="15.75" customHeight="1" x14ac:dyDescent="0.2">
      <c r="B12" s="8" t="s">
        <v>12</v>
      </c>
      <c r="C12" s="11">
        <f>+F12+G12</f>
        <v>1300</v>
      </c>
      <c r="D12" s="10">
        <f>+C12/$C$11</f>
        <v>0.2857142857142857</v>
      </c>
      <c r="F12">
        <v>-300</v>
      </c>
      <c r="G12" s="11">
        <v>1600</v>
      </c>
    </row>
    <row r="13" spans="2:7" ht="15.75" customHeight="1" x14ac:dyDescent="0.2">
      <c r="B13" s="8" t="s">
        <v>13</v>
      </c>
      <c r="C13" s="11">
        <f>+F13+G13</f>
        <v>1600</v>
      </c>
      <c r="D13" s="10">
        <f>+C13/$C$11</f>
        <v>0.35164835164835168</v>
      </c>
      <c r="F13">
        <v>100</v>
      </c>
      <c r="G13" s="11">
        <v>1500</v>
      </c>
    </row>
    <row r="14" spans="2:7" ht="15.75" customHeight="1" x14ac:dyDescent="0.2">
      <c r="B14" s="8" t="s">
        <v>14</v>
      </c>
      <c r="C14" s="11">
        <f>+F14+G14</f>
        <v>1650</v>
      </c>
      <c r="D14" s="10">
        <f>+C14/$C$11</f>
        <v>0.36263736263736263</v>
      </c>
      <c r="F14">
        <v>150</v>
      </c>
      <c r="G14" s="11">
        <v>1500</v>
      </c>
    </row>
    <row r="15" spans="2:7" ht="15.75" customHeight="1" x14ac:dyDescent="0.2">
      <c r="B15" s="3" t="s">
        <v>15</v>
      </c>
      <c r="C15" s="4">
        <f>SUM(C16:C21)</f>
        <v>9600</v>
      </c>
      <c r="D15" s="12">
        <f>+C15/C2</f>
        <v>0.30967741935483872</v>
      </c>
    </row>
    <row r="16" spans="2:7" ht="15.75" customHeight="1" x14ac:dyDescent="0.2">
      <c r="B16" s="8" t="s">
        <v>16</v>
      </c>
      <c r="C16" s="11">
        <v>2500</v>
      </c>
      <c r="D16" s="10">
        <f t="shared" ref="D16:D21" si="2">+C16/$C$15</f>
        <v>0.26041666666666669</v>
      </c>
    </row>
    <row r="17" spans="2:7" ht="15.75" customHeight="1" x14ac:dyDescent="0.2">
      <c r="B17" s="8" t="s">
        <v>17</v>
      </c>
      <c r="C17" s="11">
        <v>1800</v>
      </c>
      <c r="D17" s="10">
        <f t="shared" si="2"/>
        <v>0.1875</v>
      </c>
    </row>
    <row r="18" spans="2:7" ht="15.75" customHeight="1" x14ac:dyDescent="0.2">
      <c r="B18" s="8" t="s">
        <v>18</v>
      </c>
      <c r="C18" s="11">
        <v>1200</v>
      </c>
      <c r="D18" s="10">
        <f t="shared" si="2"/>
        <v>0.125</v>
      </c>
    </row>
    <row r="19" spans="2:7" ht="15.75" customHeight="1" x14ac:dyDescent="0.2">
      <c r="B19" s="8" t="s">
        <v>19</v>
      </c>
      <c r="C19" s="11">
        <v>1300</v>
      </c>
      <c r="D19" s="10">
        <f t="shared" si="2"/>
        <v>0.13541666666666666</v>
      </c>
    </row>
    <row r="20" spans="2:7" ht="15.75" customHeight="1" x14ac:dyDescent="0.2">
      <c r="B20" s="8" t="s">
        <v>20</v>
      </c>
      <c r="C20" s="11">
        <v>1300</v>
      </c>
      <c r="D20" s="10">
        <f t="shared" si="2"/>
        <v>0.13541666666666666</v>
      </c>
      <c r="E20" t="s">
        <v>148</v>
      </c>
    </row>
    <row r="21" spans="2:7" ht="15.75" customHeight="1" x14ac:dyDescent="0.2">
      <c r="B21" s="8" t="s">
        <v>21</v>
      </c>
      <c r="C21" s="11">
        <v>1500</v>
      </c>
      <c r="D21" s="10">
        <f t="shared" si="2"/>
        <v>0.15625</v>
      </c>
      <c r="E21" t="s">
        <v>149</v>
      </c>
    </row>
    <row r="22" spans="2:7" ht="15.75" customHeight="1" x14ac:dyDescent="0.2">
      <c r="B22" s="13" t="s">
        <v>22</v>
      </c>
      <c r="C22" s="14">
        <f>+C2-C15</f>
        <v>21400</v>
      </c>
      <c r="D22" s="15">
        <f>+C22/C2</f>
        <v>0.69032258064516128</v>
      </c>
      <c r="E22" s="77">
        <f>+D22</f>
        <v>0.69032258064516128</v>
      </c>
      <c r="F22" s="5" t="s">
        <v>23</v>
      </c>
    </row>
    <row r="23" spans="2:7" ht="15.75" customHeight="1" x14ac:dyDescent="0.2">
      <c r="B23" s="13" t="s">
        <v>24</v>
      </c>
      <c r="C23" s="14">
        <f>SUM(C24:C28)</f>
        <v>13487.949000000001</v>
      </c>
      <c r="D23" s="15">
        <f>+C23/C2</f>
        <v>0.43509512903225805</v>
      </c>
      <c r="E23" s="14">
        <f>+C23*12</f>
        <v>161855.38800000001</v>
      </c>
      <c r="F23" s="5" t="s">
        <v>2</v>
      </c>
    </row>
    <row r="24" spans="2:7" ht="15.75" customHeight="1" x14ac:dyDescent="0.2">
      <c r="B24" s="8" t="s">
        <v>25</v>
      </c>
      <c r="C24" s="11">
        <f>(((C70*2)+(C71*2))*1.33)*(1+G24)</f>
        <v>10287.949000000001</v>
      </c>
      <c r="D24" s="2" t="s">
        <v>150</v>
      </c>
      <c r="E24" s="11"/>
      <c r="G24" s="49"/>
    </row>
    <row r="25" spans="2:7" ht="15.75" customHeight="1" x14ac:dyDescent="0.2">
      <c r="B25" s="8" t="s">
        <v>26</v>
      </c>
      <c r="C25" s="11">
        <v>2200</v>
      </c>
      <c r="D25" s="2" t="s">
        <v>151</v>
      </c>
      <c r="E25" s="11"/>
    </row>
    <row r="26" spans="2:7" ht="15.75" customHeight="1" x14ac:dyDescent="0.2">
      <c r="B26" s="8" t="s">
        <v>27</v>
      </c>
      <c r="C26" s="11">
        <v>750</v>
      </c>
      <c r="E26" s="11"/>
    </row>
    <row r="27" spans="2:7" ht="15.75" customHeight="1" x14ac:dyDescent="0.2">
      <c r="B27" s="8" t="s">
        <v>28</v>
      </c>
      <c r="C27" s="11">
        <v>100</v>
      </c>
      <c r="E27" s="11"/>
    </row>
    <row r="28" spans="2:7" ht="15.75" customHeight="1" x14ac:dyDescent="0.2">
      <c r="B28" s="8" t="s">
        <v>29</v>
      </c>
      <c r="C28" s="11">
        <v>150</v>
      </c>
      <c r="E28" s="11"/>
    </row>
    <row r="29" spans="2:7" ht="15.75" customHeight="1" x14ac:dyDescent="0.2">
      <c r="B29" s="13" t="s">
        <v>30</v>
      </c>
      <c r="C29" s="14">
        <f>SUM(C30:C34)</f>
        <v>3337</v>
      </c>
      <c r="D29" s="15">
        <f>+C29/C2</f>
        <v>0.10764516129032257</v>
      </c>
      <c r="E29" s="14">
        <f>+C29*12</f>
        <v>40044</v>
      </c>
      <c r="F29" s="5" t="s">
        <v>2</v>
      </c>
    </row>
    <row r="30" spans="2:7" ht="15.75" customHeight="1" x14ac:dyDescent="0.2">
      <c r="B30" s="8" t="s">
        <v>31</v>
      </c>
      <c r="C30" s="11">
        <v>1600</v>
      </c>
      <c r="D30" s="2" t="s">
        <v>152</v>
      </c>
    </row>
    <row r="31" spans="2:7" ht="15.75" customHeight="1" x14ac:dyDescent="0.2">
      <c r="B31" s="8" t="s">
        <v>32</v>
      </c>
      <c r="C31" s="11">
        <v>350</v>
      </c>
    </row>
    <row r="32" spans="2:7" ht="15.75" customHeight="1" x14ac:dyDescent="0.2">
      <c r="B32" s="8" t="s">
        <v>33</v>
      </c>
      <c r="C32" s="11">
        <v>800</v>
      </c>
      <c r="D32" s="2" t="s">
        <v>153</v>
      </c>
    </row>
    <row r="33" spans="1:6" ht="15.75" customHeight="1" x14ac:dyDescent="0.2">
      <c r="B33" s="8" t="s">
        <v>34</v>
      </c>
      <c r="C33" s="11">
        <v>139</v>
      </c>
    </row>
    <row r="34" spans="1:6" ht="16.5" customHeight="1" x14ac:dyDescent="0.2">
      <c r="B34" s="8" t="s">
        <v>35</v>
      </c>
      <c r="C34" s="11">
        <v>448</v>
      </c>
    </row>
    <row r="35" spans="1:6" ht="16.5" customHeight="1" x14ac:dyDescent="0.2">
      <c r="B35" s="3" t="s">
        <v>36</v>
      </c>
      <c r="C35" s="4">
        <f>+C22-C23-C29</f>
        <v>4575.0509999999995</v>
      </c>
      <c r="D35" s="17">
        <f>+C35/C2</f>
        <v>0.14758229032258063</v>
      </c>
    </row>
    <row r="36" spans="1:6" ht="15.75" customHeight="1" x14ac:dyDescent="0.2">
      <c r="B36" s="3" t="s">
        <v>37</v>
      </c>
      <c r="C36" s="1">
        <f>+C68</f>
        <v>800</v>
      </c>
    </row>
    <row r="37" spans="1:6" ht="15.75" customHeight="1" x14ac:dyDescent="0.2">
      <c r="B37" s="3" t="s">
        <v>38</v>
      </c>
      <c r="C37" s="1">
        <v>50</v>
      </c>
    </row>
    <row r="38" spans="1:6" ht="15.75" customHeight="1" x14ac:dyDescent="0.2">
      <c r="B38" s="3" t="s">
        <v>39</v>
      </c>
      <c r="C38" s="4">
        <f>+C35-C36-C37</f>
        <v>3725.0509999999995</v>
      </c>
      <c r="D38" s="12">
        <f>+C38/C2</f>
        <v>0.12016293548387096</v>
      </c>
    </row>
    <row r="39" spans="1:6" ht="15.75" customHeight="1" x14ac:dyDescent="0.2">
      <c r="B39" s="3" t="s">
        <v>40</v>
      </c>
      <c r="C39" s="1">
        <f>+C38*0.25</f>
        <v>931.26274999999987</v>
      </c>
      <c r="D39" s="12"/>
    </row>
    <row r="40" spans="1:6" ht="15.75" customHeight="1" x14ac:dyDescent="0.2">
      <c r="B40" s="3" t="s">
        <v>41</v>
      </c>
      <c r="C40" s="4">
        <f>+C38-C39</f>
        <v>2793.7882499999996</v>
      </c>
      <c r="D40" s="12">
        <f>+C40/C2</f>
        <v>9.0122201612903213E-2</v>
      </c>
    </row>
    <row r="42" spans="1:6" ht="15.75" customHeight="1" x14ac:dyDescent="0.2">
      <c r="B42" t="s">
        <v>42</v>
      </c>
      <c r="C42" s="18">
        <f>+C80</f>
        <v>6735</v>
      </c>
    </row>
    <row r="43" spans="1:6" ht="15.75" customHeight="1" x14ac:dyDescent="0.2">
      <c r="B43" t="s">
        <v>43</v>
      </c>
      <c r="C43" s="18">
        <v>1385</v>
      </c>
    </row>
    <row r="44" spans="1:6" ht="15.75" customHeight="1" x14ac:dyDescent="0.2">
      <c r="B44" t="s">
        <v>44</v>
      </c>
      <c r="C44" s="18">
        <v>1275</v>
      </c>
    </row>
    <row r="45" spans="1:6" ht="15.75" customHeight="1" x14ac:dyDescent="0.2">
      <c r="B45" t="s">
        <v>45</v>
      </c>
      <c r="C45" s="18">
        <v>1720</v>
      </c>
    </row>
    <row r="46" spans="1:6" ht="16.5" customHeight="1" x14ac:dyDescent="0.2">
      <c r="B46" t="s">
        <v>46</v>
      </c>
      <c r="C46" s="18">
        <f>+C44/C69</f>
        <v>510</v>
      </c>
    </row>
    <row r="47" spans="1:6" ht="15.75" customHeight="1" x14ac:dyDescent="0.2">
      <c r="A47" s="115" t="s">
        <v>47</v>
      </c>
      <c r="B47" s="19" t="s">
        <v>48</v>
      </c>
      <c r="C47" s="20">
        <v>490</v>
      </c>
    </row>
    <row r="48" spans="1:6" ht="15.75" customHeight="1" x14ac:dyDescent="0.2">
      <c r="A48" s="115"/>
      <c r="B48" s="5" t="s">
        <v>49</v>
      </c>
      <c r="C48" s="21">
        <v>385</v>
      </c>
      <c r="D48" s="22"/>
      <c r="E48" s="23">
        <f>+C48*12</f>
        <v>4620</v>
      </c>
      <c r="F48" s="5" t="s">
        <v>2</v>
      </c>
    </row>
    <row r="49" spans="1:6" ht="15.75" customHeight="1" x14ac:dyDescent="0.2">
      <c r="A49" s="115"/>
      <c r="B49" t="s">
        <v>50</v>
      </c>
      <c r="C49" s="24">
        <f>+C48/C69</f>
        <v>154</v>
      </c>
    </row>
    <row r="50" spans="1:6" ht="15.75" customHeight="1" x14ac:dyDescent="0.2">
      <c r="A50" s="115"/>
      <c r="B50" t="s">
        <v>51</v>
      </c>
      <c r="C50" s="24">
        <v>20</v>
      </c>
    </row>
    <row r="51" spans="1:6" ht="15.75" customHeight="1" x14ac:dyDescent="0.2">
      <c r="A51" s="115"/>
      <c r="B51" t="s">
        <v>52</v>
      </c>
      <c r="C51" s="24">
        <v>180</v>
      </c>
    </row>
    <row r="52" spans="1:6" ht="15.75" customHeight="1" x14ac:dyDescent="0.2">
      <c r="A52" s="115"/>
      <c r="B52" t="s">
        <v>53</v>
      </c>
      <c r="C52" s="25">
        <f>+C2/C47</f>
        <v>63.265306122448976</v>
      </c>
    </row>
    <row r="53" spans="1:6" ht="15.75" customHeight="1" x14ac:dyDescent="0.2">
      <c r="A53" s="115"/>
      <c r="B53" t="s">
        <v>54</v>
      </c>
      <c r="C53" s="25">
        <f>+C3/C48</f>
        <v>68.701298701298697</v>
      </c>
    </row>
    <row r="54" spans="1:6" ht="15.75" customHeight="1" x14ac:dyDescent="0.2">
      <c r="A54" s="115"/>
      <c r="B54" t="s">
        <v>55</v>
      </c>
      <c r="C54" s="25">
        <f>+C12/C50</f>
        <v>65</v>
      </c>
    </row>
    <row r="55" spans="1:6" ht="16.5" customHeight="1" x14ac:dyDescent="0.2">
      <c r="A55" s="115"/>
      <c r="B55" s="26" t="s">
        <v>56</v>
      </c>
      <c r="C55" s="27">
        <f>+(C11-C12)/C51</f>
        <v>18.055555555555557</v>
      </c>
    </row>
    <row r="56" spans="1:6" ht="15.75" customHeight="1" x14ac:dyDescent="0.2">
      <c r="A56" s="28"/>
      <c r="B56" t="s">
        <v>57</v>
      </c>
      <c r="C56" s="1">
        <f>+E2/C43</f>
        <v>268.59205776173286</v>
      </c>
    </row>
    <row r="57" spans="1:6" ht="15.75" customHeight="1" x14ac:dyDescent="0.2">
      <c r="A57" s="28"/>
      <c r="B57" t="s">
        <v>58</v>
      </c>
      <c r="C57" s="1">
        <f>+E3/C44</f>
        <v>248.94117647058823</v>
      </c>
    </row>
    <row r="58" spans="1:6" ht="15.75" customHeight="1" x14ac:dyDescent="0.2">
      <c r="B58" t="s">
        <v>59</v>
      </c>
      <c r="C58" s="29">
        <f>E2/(C52*C43)</f>
        <v>4.2454873646209386</v>
      </c>
    </row>
    <row r="59" spans="1:6" ht="15.75" customHeight="1" x14ac:dyDescent="0.2">
      <c r="B59" s="5" t="s">
        <v>60</v>
      </c>
      <c r="C59" s="23">
        <f>+C58*C43</f>
        <v>5880</v>
      </c>
      <c r="D59" s="22"/>
      <c r="E59" s="5">
        <f>+C59/12</f>
        <v>490</v>
      </c>
      <c r="F59" s="5" t="s">
        <v>61</v>
      </c>
    </row>
    <row r="60" spans="1:6" ht="15.75" customHeight="1" x14ac:dyDescent="0.2">
      <c r="B60" t="s">
        <v>62</v>
      </c>
      <c r="C60" s="30">
        <f>E3/(C44*C53)</f>
        <v>3.6235294117647059</v>
      </c>
    </row>
    <row r="61" spans="1:6" ht="15.75" customHeight="1" x14ac:dyDescent="0.2">
      <c r="B61" t="s">
        <v>63</v>
      </c>
      <c r="C61" s="30">
        <f>+C45/C44</f>
        <v>1.3490196078431373</v>
      </c>
    </row>
    <row r="62" spans="1:6" ht="15.75" customHeight="1" x14ac:dyDescent="0.2">
      <c r="B62" t="s">
        <v>64</v>
      </c>
      <c r="C62" s="1">
        <v>890</v>
      </c>
      <c r="D62" s="2">
        <f>+C62/C2</f>
        <v>2.8709677419354838E-2</v>
      </c>
    </row>
    <row r="63" spans="1:6" ht="15.75" customHeight="1" x14ac:dyDescent="0.2">
      <c r="B63" t="s">
        <v>65</v>
      </c>
      <c r="C63" s="1">
        <v>450</v>
      </c>
      <c r="D63" s="2">
        <f>+C63/C2</f>
        <v>1.4516129032258065E-2</v>
      </c>
    </row>
    <row r="64" spans="1:6" ht="15.75" customHeight="1" x14ac:dyDescent="0.2">
      <c r="B64" s="5" t="s">
        <v>66</v>
      </c>
      <c r="C64" s="6">
        <f>+C62-C63</f>
        <v>440</v>
      </c>
      <c r="D64" s="22">
        <f>+C64/C2</f>
        <v>1.4193548387096775E-2</v>
      </c>
      <c r="E64" s="6">
        <f>+C64*12</f>
        <v>5280</v>
      </c>
      <c r="F64" s="5" t="s">
        <v>2</v>
      </c>
    </row>
    <row r="65" spans="1:10" ht="15.75" customHeight="1" x14ac:dyDescent="0.2">
      <c r="B65" t="s">
        <v>67</v>
      </c>
      <c r="C65" s="1">
        <v>750</v>
      </c>
      <c r="D65" s="2">
        <f>+C65/C2</f>
        <v>2.4193548387096774E-2</v>
      </c>
    </row>
    <row r="66" spans="1:10" ht="15.75" customHeight="1" x14ac:dyDescent="0.2">
      <c r="B66" s="5" t="s">
        <v>68</v>
      </c>
      <c r="C66" s="6">
        <f>+C3/2.5</f>
        <v>10580</v>
      </c>
      <c r="D66" s="22"/>
      <c r="E66" s="6">
        <f>+C66*12</f>
        <v>126960</v>
      </c>
      <c r="F66" s="5" t="s">
        <v>2</v>
      </c>
    </row>
    <row r="67" spans="1:10" ht="15.75" customHeight="1" x14ac:dyDescent="0.2">
      <c r="B67" t="s">
        <v>69</v>
      </c>
      <c r="C67" s="29">
        <f>+C3/E70</f>
        <v>3.6179479765070015</v>
      </c>
    </row>
    <row r="68" spans="1:10" ht="15.75" customHeight="1" x14ac:dyDescent="0.2">
      <c r="B68" t="s">
        <v>70</v>
      </c>
      <c r="C68" s="1">
        <v>800</v>
      </c>
    </row>
    <row r="69" spans="1:10" ht="15.75" customHeight="1" x14ac:dyDescent="0.2">
      <c r="B69" t="s">
        <v>71</v>
      </c>
      <c r="C69" s="31">
        <v>2.5</v>
      </c>
    </row>
    <row r="70" spans="1:10" ht="15.75" customHeight="1" x14ac:dyDescent="0.2">
      <c r="B70" t="s">
        <v>72</v>
      </c>
      <c r="C70" s="1">
        <f>2130*1.03</f>
        <v>2193.9</v>
      </c>
      <c r="E70" s="1">
        <f>+((C70*2)*1.33)+(C25+C26)/2</f>
        <v>7310.7740000000003</v>
      </c>
      <c r="F70" t="s">
        <v>73</v>
      </c>
    </row>
    <row r="71" spans="1:10" ht="15.75" customHeight="1" x14ac:dyDescent="0.2">
      <c r="B71" t="s">
        <v>74</v>
      </c>
      <c r="C71" s="1">
        <f>1625*1.03</f>
        <v>1673.75</v>
      </c>
      <c r="E71" s="1">
        <f>+(C71*2)*1.33</f>
        <v>4452.1750000000002</v>
      </c>
    </row>
    <row r="72" spans="1:10" ht="16.5" customHeight="1" x14ac:dyDescent="0.2"/>
    <row r="73" spans="1:10" ht="15.75" customHeight="1" x14ac:dyDescent="0.2">
      <c r="B73" s="32" t="s">
        <v>75</v>
      </c>
      <c r="C73" s="33"/>
      <c r="D73" s="34"/>
      <c r="E73" s="35" t="s">
        <v>76</v>
      </c>
    </row>
    <row r="74" spans="1:10" ht="15.75" customHeight="1" x14ac:dyDescent="0.2">
      <c r="A74" t="s">
        <v>78</v>
      </c>
      <c r="B74" s="36" t="s">
        <v>79</v>
      </c>
      <c r="C74" s="18">
        <f>+C43</f>
        <v>1385</v>
      </c>
      <c r="D74" s="2">
        <f>+C74/C80</f>
        <v>0.20564216778025241</v>
      </c>
      <c r="E74" s="37"/>
      <c r="F74" s="38" t="s">
        <v>80</v>
      </c>
      <c r="G74" s="38" t="s">
        <v>81</v>
      </c>
      <c r="H74" s="38" t="s">
        <v>82</v>
      </c>
      <c r="I74" s="38" t="s">
        <v>83</v>
      </c>
      <c r="J74" s="38"/>
    </row>
    <row r="75" spans="1:10" ht="15.75" customHeight="1" x14ac:dyDescent="0.2">
      <c r="A75">
        <v>77</v>
      </c>
      <c r="B75" s="39" t="s">
        <v>86</v>
      </c>
      <c r="C75" s="40">
        <v>105</v>
      </c>
      <c r="D75" s="41">
        <f>+C75/$C$74</f>
        <v>7.5812274368231042E-2</v>
      </c>
      <c r="E75" s="42" t="s">
        <v>87</v>
      </c>
      <c r="F75" s="43">
        <v>0.2</v>
      </c>
      <c r="G75" s="44">
        <f>+(E2*F75)/C75</f>
        <v>708.57142857142856</v>
      </c>
      <c r="H75" s="45">
        <f>E2*F75</f>
        <v>74400</v>
      </c>
      <c r="I75" s="46">
        <f>H75/(C75*$A$75)</f>
        <v>9.2022263450834885</v>
      </c>
    </row>
    <row r="76" spans="1:10" ht="15.75" customHeight="1" x14ac:dyDescent="0.2">
      <c r="A76">
        <v>70</v>
      </c>
      <c r="B76" s="39" t="s">
        <v>89</v>
      </c>
      <c r="C76" s="40">
        <v>350</v>
      </c>
      <c r="D76" s="41">
        <f>+C76/$C$74</f>
        <v>0.25270758122743681</v>
      </c>
      <c r="E76" s="47" t="s">
        <v>90</v>
      </c>
      <c r="F76" s="43">
        <v>0.5</v>
      </c>
      <c r="G76" s="44">
        <f>+(E2*F76)/C76</f>
        <v>531.42857142857144</v>
      </c>
      <c r="H76" s="45">
        <f>E2*F76</f>
        <v>186000</v>
      </c>
      <c r="I76" s="46">
        <f>H76/(C76*A76)</f>
        <v>7.591836734693878</v>
      </c>
    </row>
    <row r="77" spans="1:10" ht="15.75" customHeight="1" x14ac:dyDescent="0.2">
      <c r="A77">
        <v>55</v>
      </c>
      <c r="B77" s="39" t="s">
        <v>92</v>
      </c>
      <c r="C77" s="40">
        <v>930</v>
      </c>
      <c r="D77" s="41">
        <f>+C77/$C$74</f>
        <v>0.67148014440433212</v>
      </c>
      <c r="E77" s="47" t="s">
        <v>93</v>
      </c>
      <c r="F77" s="43">
        <v>0.3</v>
      </c>
      <c r="G77" s="44">
        <f>+(E2*F77)/C77</f>
        <v>120</v>
      </c>
      <c r="H77" s="45">
        <f>E2*F77</f>
        <v>111600</v>
      </c>
      <c r="I77" s="46">
        <f>H77/(C77*A77)</f>
        <v>2.1818181818181817</v>
      </c>
    </row>
    <row r="78" spans="1:10" ht="15.75" customHeight="1" x14ac:dyDescent="0.2">
      <c r="B78" s="36" t="s">
        <v>95</v>
      </c>
      <c r="C78" s="48">
        <v>520</v>
      </c>
      <c r="D78" s="2">
        <f>+C78/C80</f>
        <v>7.7208611729769852E-2</v>
      </c>
      <c r="E78" s="37"/>
      <c r="F78" s="49"/>
    </row>
    <row r="79" spans="1:10" ht="15.75" customHeight="1" x14ac:dyDescent="0.2">
      <c r="B79" s="36" t="s">
        <v>96</v>
      </c>
      <c r="C79" s="18">
        <v>4830</v>
      </c>
      <c r="D79" s="2">
        <f>+C79/C80</f>
        <v>0.71714922048997776</v>
      </c>
      <c r="E79" s="37"/>
      <c r="F79" s="49"/>
    </row>
    <row r="80" spans="1:10" ht="16.5" customHeight="1" x14ac:dyDescent="0.2">
      <c r="B80" s="50" t="s">
        <v>98</v>
      </c>
      <c r="C80" s="51">
        <f>+C74+C78+C79</f>
        <v>6735</v>
      </c>
      <c r="D80" s="52">
        <f>+D74+D78+D79</f>
        <v>1</v>
      </c>
      <c r="E80" s="53"/>
      <c r="F80" s="49"/>
    </row>
    <row r="81" spans="2:8" ht="15.75" customHeight="1" x14ac:dyDescent="0.2">
      <c r="B81" s="32" t="s">
        <v>102</v>
      </c>
      <c r="C81" s="55"/>
    </row>
    <row r="82" spans="2:8" ht="15.75" customHeight="1" x14ac:dyDescent="0.2">
      <c r="B82" s="36" t="s">
        <v>104</v>
      </c>
      <c r="C82" s="24">
        <v>236</v>
      </c>
    </row>
    <row r="83" spans="2:8" ht="15.75" customHeight="1" x14ac:dyDescent="0.2">
      <c r="B83" s="36" t="s">
        <v>106</v>
      </c>
      <c r="C83" s="24">
        <f>+C82/12</f>
        <v>19.666666666666668</v>
      </c>
    </row>
    <row r="84" spans="2:8" ht="15.75" customHeight="1" x14ac:dyDescent="0.2">
      <c r="B84" s="36" t="s">
        <v>108</v>
      </c>
      <c r="C84" s="24">
        <f>8*60</f>
        <v>480</v>
      </c>
    </row>
    <row r="85" spans="2:8" ht="15.75" customHeight="1" x14ac:dyDescent="0.2">
      <c r="B85" s="36" t="s">
        <v>109</v>
      </c>
      <c r="C85" s="24">
        <f>+C84*C82*C69</f>
        <v>283200</v>
      </c>
    </row>
    <row r="86" spans="2:8" ht="15.75" customHeight="1" x14ac:dyDescent="0.2">
      <c r="B86" s="36" t="s">
        <v>110</v>
      </c>
      <c r="C86" s="57">
        <v>0.75</v>
      </c>
    </row>
    <row r="87" spans="2:8" ht="15.75" customHeight="1" x14ac:dyDescent="0.2">
      <c r="B87" s="36" t="s">
        <v>111</v>
      </c>
      <c r="C87" s="24">
        <f>+C85*C86</f>
        <v>212400</v>
      </c>
    </row>
    <row r="88" spans="2:8" ht="15.75" customHeight="1" x14ac:dyDescent="0.2">
      <c r="B88" s="36" t="s">
        <v>154</v>
      </c>
      <c r="C88" s="57">
        <v>0.8</v>
      </c>
    </row>
    <row r="89" spans="2:8" ht="15.75" customHeight="1" x14ac:dyDescent="0.2">
      <c r="B89" s="36" t="s">
        <v>113</v>
      </c>
      <c r="C89" s="57">
        <v>0.2</v>
      </c>
    </row>
    <row r="90" spans="2:8" ht="15.75" customHeight="1" x14ac:dyDescent="0.2">
      <c r="B90" s="36" t="s">
        <v>155</v>
      </c>
      <c r="C90" s="24">
        <f>+C87*C88</f>
        <v>169920</v>
      </c>
    </row>
    <row r="91" spans="2:8" ht="16.5" customHeight="1" x14ac:dyDescent="0.2">
      <c r="B91" s="58" t="s">
        <v>115</v>
      </c>
      <c r="C91" s="27">
        <f>(E23+E29)/C87</f>
        <v>0.95056209039548023</v>
      </c>
    </row>
    <row r="92" spans="2:8" ht="15.75" customHeight="1" x14ac:dyDescent="0.2">
      <c r="B92" s="32" t="s">
        <v>116</v>
      </c>
      <c r="C92" s="59" t="s">
        <v>117</v>
      </c>
      <c r="D92" s="60" t="s">
        <v>118</v>
      </c>
      <c r="E92" s="61" t="s">
        <v>119</v>
      </c>
      <c r="F92" s="62" t="s">
        <v>120</v>
      </c>
      <c r="G92" s="63"/>
      <c r="H92" s="64"/>
    </row>
    <row r="93" spans="2:8" ht="15.75" customHeight="1" x14ac:dyDescent="0.2">
      <c r="B93" s="36" t="s">
        <v>122</v>
      </c>
      <c r="C93" s="65">
        <v>20</v>
      </c>
      <c r="D93" s="25">
        <f>+C93*$C$91</f>
        <v>19.011241807909606</v>
      </c>
      <c r="E93" s="66">
        <f>+D93*1.15</f>
        <v>21.862928079096044</v>
      </c>
      <c r="F93" s="67">
        <f>+E93/0.5</f>
        <v>43.725856158192087</v>
      </c>
      <c r="G93" s="1">
        <f>+F93*1.21</f>
        <v>52.908285951412424</v>
      </c>
      <c r="H93" s="37" t="s">
        <v>123</v>
      </c>
    </row>
    <row r="94" spans="2:8" ht="15.75" customHeight="1" x14ac:dyDescent="0.2">
      <c r="B94" s="36" t="s">
        <v>124</v>
      </c>
      <c r="C94" s="65">
        <v>15</v>
      </c>
      <c r="D94" s="25">
        <f>+C94*$C$91</f>
        <v>14.258431355932203</v>
      </c>
      <c r="E94" s="66">
        <f>+D94*1.15</f>
        <v>16.397196059322031</v>
      </c>
      <c r="F94" s="67">
        <f>+E94/0.5</f>
        <v>32.794392118644062</v>
      </c>
      <c r="G94" s="1">
        <f>+F94*1.21</f>
        <v>39.681214463559314</v>
      </c>
      <c r="H94" s="37" t="s">
        <v>123</v>
      </c>
    </row>
    <row r="95" spans="2:8" ht="15.75" customHeight="1" x14ac:dyDescent="0.2">
      <c r="B95" s="36" t="s">
        <v>125</v>
      </c>
      <c r="C95" s="65">
        <v>60</v>
      </c>
      <c r="D95" s="25">
        <f>+C95*$C$91</f>
        <v>57.033725423728811</v>
      </c>
      <c r="E95" s="66">
        <f>+D95*1.15</f>
        <v>65.588784237288124</v>
      </c>
      <c r="F95" s="67">
        <f>+E95/0.5</f>
        <v>131.17756847457625</v>
      </c>
      <c r="G95" s="1">
        <f>+F95*1.21</f>
        <v>158.72485785423726</v>
      </c>
      <c r="H95" s="37" t="s">
        <v>123</v>
      </c>
    </row>
    <row r="96" spans="2:8" ht="15.75" customHeight="1" x14ac:dyDescent="0.2">
      <c r="B96" s="36" t="s">
        <v>126</v>
      </c>
      <c r="C96" s="65">
        <v>25</v>
      </c>
      <c r="D96" s="25">
        <f>+C96*$C$91</f>
        <v>23.764052259887006</v>
      </c>
      <c r="E96" s="66">
        <f>+D96*1.15</f>
        <v>27.328660098870053</v>
      </c>
      <c r="F96" s="67">
        <f>+E96/0.5</f>
        <v>54.657320197740106</v>
      </c>
      <c r="G96" s="1">
        <f>+F96*1.21</f>
        <v>66.135357439265519</v>
      </c>
      <c r="H96" s="37" t="s">
        <v>123</v>
      </c>
    </row>
    <row r="97" spans="2:8" ht="16.5" customHeight="1" x14ac:dyDescent="0.2">
      <c r="B97" s="58" t="s">
        <v>127</v>
      </c>
      <c r="C97" s="68">
        <v>20</v>
      </c>
      <c r="D97" s="27">
        <f>+C97*$C$91</f>
        <v>19.011241807909606</v>
      </c>
      <c r="E97" s="69">
        <f>+D97*1.15</f>
        <v>21.862928079096044</v>
      </c>
      <c r="F97" s="67">
        <f>+E97/0.5</f>
        <v>43.725856158192087</v>
      </c>
      <c r="G97" s="70">
        <f>+F97*1.21</f>
        <v>52.908285951412424</v>
      </c>
      <c r="H97" s="53" t="s">
        <v>123</v>
      </c>
    </row>
    <row r="98" spans="2:8" ht="15.75" customHeight="1" x14ac:dyDescent="0.2">
      <c r="B98" s="32" t="s">
        <v>128</v>
      </c>
      <c r="C98" s="59" t="s">
        <v>129</v>
      </c>
      <c r="D98" s="71" t="s">
        <v>130</v>
      </c>
      <c r="E98" s="72" t="s">
        <v>131</v>
      </c>
      <c r="F98" s="35"/>
    </row>
    <row r="99" spans="2:8" ht="15.75" customHeight="1" x14ac:dyDescent="0.2">
      <c r="B99" s="36" t="s">
        <v>132</v>
      </c>
      <c r="C99" s="65">
        <v>20</v>
      </c>
      <c r="D99" s="65">
        <v>18</v>
      </c>
      <c r="F99" s="37"/>
    </row>
    <row r="100" spans="2:8" ht="15.75" customHeight="1" x14ac:dyDescent="0.2">
      <c r="B100" s="36" t="s">
        <v>133</v>
      </c>
      <c r="C100" s="65">
        <v>35</v>
      </c>
      <c r="D100" s="65">
        <v>10</v>
      </c>
      <c r="E100" s="1">
        <f>+(D99-D100)*C83*C53</f>
        <v>10809.004329004329</v>
      </c>
      <c r="F100" s="37" t="s">
        <v>134</v>
      </c>
    </row>
    <row r="101" spans="2:8" ht="16.5" customHeight="1" x14ac:dyDescent="0.2">
      <c r="B101" s="58"/>
      <c r="C101" s="70"/>
      <c r="D101" s="52"/>
      <c r="E101" s="70">
        <f>+E100*12</f>
        <v>129708.05194805194</v>
      </c>
      <c r="F101" s="53" t="s">
        <v>135</v>
      </c>
    </row>
    <row r="102" spans="2:8" ht="15.75" customHeight="1" x14ac:dyDescent="0.2">
      <c r="B102" s="32" t="s">
        <v>136</v>
      </c>
      <c r="C102" s="33">
        <f>+(C23+C29)/E22</f>
        <v>24372.589672897197</v>
      </c>
      <c r="D102" s="73"/>
    </row>
    <row r="103" spans="2:8" ht="16.5" customHeight="1" x14ac:dyDescent="0.2">
      <c r="B103" s="58" t="s">
        <v>137</v>
      </c>
      <c r="C103" s="70">
        <f>+C2-C102</f>
        <v>6627.4103271028034</v>
      </c>
      <c r="D103" s="74">
        <f>+C103/C2</f>
        <v>0.21378742990654204</v>
      </c>
    </row>
    <row r="105" spans="2:8" ht="15.75" customHeight="1" x14ac:dyDescent="0.2">
      <c r="B105" s="75" t="s">
        <v>138</v>
      </c>
      <c r="C105" s="75" t="s">
        <v>139</v>
      </c>
      <c r="D105" s="75" t="s">
        <v>140</v>
      </c>
      <c r="E105" s="75" t="s">
        <v>141</v>
      </c>
    </row>
    <row r="106" spans="2:8" ht="15.75" customHeight="1" x14ac:dyDescent="0.2">
      <c r="B106" t="s">
        <v>142</v>
      </c>
      <c r="C106" s="1">
        <v>2400</v>
      </c>
      <c r="D106" s="2">
        <f>+C106/$C$10</f>
        <v>0.63157894736842102</v>
      </c>
      <c r="E106" s="2">
        <f>+C106/$C$3</f>
        <v>9.0737240075614373E-2</v>
      </c>
    </row>
    <row r="107" spans="2:8" ht="15.75" customHeight="1" x14ac:dyDescent="0.2">
      <c r="B107" t="s">
        <v>143</v>
      </c>
      <c r="C107" s="1">
        <v>1400</v>
      </c>
      <c r="D107" s="2">
        <f>+C107/$C$10</f>
        <v>0.36842105263157893</v>
      </c>
      <c r="E107" s="2">
        <f>+C107/$C$3</f>
        <v>5.2930056710775046E-2</v>
      </c>
    </row>
    <row r="108" spans="2:8" ht="15.75" customHeight="1" x14ac:dyDescent="0.2">
      <c r="B108" s="76" t="s">
        <v>144</v>
      </c>
      <c r="C108" s="76">
        <f>C106+C107</f>
        <v>3800</v>
      </c>
      <c r="D108" s="76" t="str">
        <f>IF(C108=C10,"OK","REVISAR")</f>
        <v>OK</v>
      </c>
    </row>
    <row r="110" spans="2:8" ht="15.75" customHeight="1" x14ac:dyDescent="0.2">
      <c r="B110" s="76" t="s">
        <v>145</v>
      </c>
      <c r="C110" s="2">
        <f>+C106/$C$10</f>
        <v>0.63157894736842102</v>
      </c>
      <c r="D110" s="2" t="s">
        <v>146</v>
      </c>
    </row>
  </sheetData>
  <mergeCells count="1">
    <mergeCell ref="A47:A5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23"/>
  <sheetViews>
    <sheetView zoomScale="160" zoomScaleNormal="160" workbookViewId="0">
      <selection activeCell="S26" sqref="S26"/>
    </sheetView>
  </sheetViews>
  <sheetFormatPr baseColWidth="10" defaultColWidth="10.83203125" defaultRowHeight="16" x14ac:dyDescent="0.2"/>
  <cols>
    <col min="1" max="1" width="5.1640625" customWidth="1"/>
    <col min="2" max="2" width="28" customWidth="1"/>
    <col min="3" max="3" width="12.33203125" customWidth="1"/>
    <col min="4" max="4" width="13" customWidth="1"/>
  </cols>
  <sheetData>
    <row r="1" spans="2:6" s="78" customFormat="1" ht="15.75" customHeight="1" x14ac:dyDescent="0.2">
      <c r="C1" s="78" t="s">
        <v>0</v>
      </c>
      <c r="D1" s="78" t="s">
        <v>147</v>
      </c>
      <c r="E1" s="78" t="s">
        <v>156</v>
      </c>
      <c r="F1" s="79" t="s">
        <v>157</v>
      </c>
    </row>
    <row r="2" spans="2:6" ht="15.75" customHeight="1" x14ac:dyDescent="0.2">
      <c r="B2" t="s">
        <v>158</v>
      </c>
      <c r="C2" s="1">
        <f>+OCTUBRE!C2</f>
        <v>26500</v>
      </c>
      <c r="D2" s="1">
        <f>+MAYO!C2</f>
        <v>31000</v>
      </c>
      <c r="E2" s="2">
        <f>+(D2-C2)/C2</f>
        <v>0.16981132075471697</v>
      </c>
    </row>
    <row r="3" spans="2:6" ht="15.75" customHeight="1" x14ac:dyDescent="0.2">
      <c r="B3" t="s">
        <v>159</v>
      </c>
      <c r="C3" s="80">
        <f>+OCTUBRE!D3</f>
        <v>0.82641509433962268</v>
      </c>
      <c r="D3" s="81">
        <f>+MAYO!D3</f>
        <v>0.85322580645161294</v>
      </c>
      <c r="E3" s="2">
        <f>+D3-C3</f>
        <v>2.6810712111990265E-2</v>
      </c>
      <c r="F3" t="s">
        <v>160</v>
      </c>
    </row>
    <row r="4" spans="2:6" ht="15.75" customHeight="1" x14ac:dyDescent="0.2">
      <c r="B4" t="s">
        <v>161</v>
      </c>
      <c r="C4" s="80">
        <f>OCTUBRE!D4</f>
        <v>0.26484018264840181</v>
      </c>
      <c r="D4" s="80">
        <f>MAYO!D4</f>
        <v>0.26465028355387521</v>
      </c>
      <c r="E4" s="2">
        <f>D4-C4</f>
        <v>-1.8989909452660214E-4</v>
      </c>
      <c r="F4" t="s">
        <v>162</v>
      </c>
    </row>
    <row r="5" spans="2:6" ht="15.75" customHeight="1" x14ac:dyDescent="0.2">
      <c r="B5" t="s">
        <v>163</v>
      </c>
      <c r="C5" s="82">
        <f>OCTUBRE!D8</f>
        <v>0.12785388127853881</v>
      </c>
      <c r="D5" s="80">
        <f>MAYO!D8</f>
        <v>0.15122873345935728</v>
      </c>
      <c r="E5" s="2">
        <f>D5-C5</f>
        <v>2.3374852180818473E-2</v>
      </c>
      <c r="F5" t="s">
        <v>164</v>
      </c>
    </row>
    <row r="6" spans="2:6" ht="15.75" customHeight="1" x14ac:dyDescent="0.2">
      <c r="B6" t="s">
        <v>165</v>
      </c>
      <c r="C6" s="80">
        <f>OCTUBRE!D6</f>
        <v>0.17808219178082191</v>
      </c>
      <c r="D6" s="80">
        <f>MAYO!D6</f>
        <v>0.15689981096408318</v>
      </c>
      <c r="E6" s="2">
        <f>D6-C6</f>
        <v>-2.1182380816738733E-2</v>
      </c>
      <c r="F6" t="s">
        <v>164</v>
      </c>
    </row>
    <row r="7" spans="2:6" ht="15.75" customHeight="1" x14ac:dyDescent="0.2">
      <c r="B7" t="s">
        <v>166</v>
      </c>
      <c r="C7" s="80">
        <f>OCTUBRE!D10</f>
        <v>0.14611872146118721</v>
      </c>
      <c r="D7" s="80">
        <f>MAYO!D10</f>
        <v>0.14366729678638943</v>
      </c>
      <c r="E7" s="2">
        <f>D7-C7</f>
        <v>-2.4514246747977808E-3</v>
      </c>
      <c r="F7" t="s">
        <v>167</v>
      </c>
    </row>
    <row r="8" spans="2:6" ht="15.75" customHeight="1" x14ac:dyDescent="0.2">
      <c r="B8" t="s">
        <v>168</v>
      </c>
      <c r="C8" s="80">
        <f>+OCTUBRE!D11</f>
        <v>0.17358490566037735</v>
      </c>
      <c r="D8" s="81">
        <f>+MAYO!D11</f>
        <v>0.14677419354838708</v>
      </c>
      <c r="E8" s="2">
        <f t="shared" ref="E8:E13" si="0">+D8-C8</f>
        <v>-2.6810712111990265E-2</v>
      </c>
      <c r="F8" t="s">
        <v>169</v>
      </c>
    </row>
    <row r="9" spans="2:6" ht="15.75" customHeight="1" x14ac:dyDescent="0.2">
      <c r="B9" t="s">
        <v>170</v>
      </c>
      <c r="C9" s="80">
        <f>+OCTUBRE!D22</f>
        <v>0.67584905660377359</v>
      </c>
      <c r="D9" s="80">
        <f>+MAYO!D22</f>
        <v>0.69032258064516128</v>
      </c>
      <c r="E9" s="2">
        <f t="shared" si="0"/>
        <v>1.4473524041387686E-2</v>
      </c>
      <c r="F9" t="s">
        <v>171</v>
      </c>
    </row>
    <row r="10" spans="2:6" ht="15.75" customHeight="1" x14ac:dyDescent="0.2">
      <c r="B10" t="s">
        <v>172</v>
      </c>
      <c r="C10" s="82">
        <f>+OCTUBRE!D23</f>
        <v>0.48823773584905666</v>
      </c>
      <c r="D10" s="80">
        <f>+MAYO!D23</f>
        <v>0.43509512903225805</v>
      </c>
      <c r="E10" s="2">
        <f t="shared" si="0"/>
        <v>-5.314260681679861E-2</v>
      </c>
      <c r="F10" t="s">
        <v>173</v>
      </c>
    </row>
    <row r="11" spans="2:6" ht="15.75" customHeight="1" x14ac:dyDescent="0.2">
      <c r="B11" t="s">
        <v>174</v>
      </c>
      <c r="C11" s="80">
        <f>+OCTUBRE!D29</f>
        <v>0.10894339622641509</v>
      </c>
      <c r="D11" s="80">
        <f>+MAYO!D29</f>
        <v>0.10764516129032257</v>
      </c>
      <c r="E11" s="2">
        <f t="shared" si="0"/>
        <v>-1.2982349360925183E-3</v>
      </c>
      <c r="F11" t="s">
        <v>175</v>
      </c>
    </row>
    <row r="12" spans="2:6" ht="15.75" customHeight="1" x14ac:dyDescent="0.2">
      <c r="B12" t="s">
        <v>176</v>
      </c>
      <c r="C12" s="82">
        <f>+OCTUBRE!D35</f>
        <v>7.8667924528301847E-2</v>
      </c>
      <c r="D12" s="80">
        <f>+MAYO!D35</f>
        <v>0.14758229032258063</v>
      </c>
      <c r="E12" s="2">
        <f t="shared" si="0"/>
        <v>6.8914365794278787E-2</v>
      </c>
      <c r="F12" t="s">
        <v>177</v>
      </c>
    </row>
    <row r="13" spans="2:6" ht="15.75" customHeight="1" x14ac:dyDescent="0.2">
      <c r="B13" t="s">
        <v>178</v>
      </c>
      <c r="C13" s="82">
        <f>+OCTUBRE!D40</f>
        <v>3.4944339622641478E-2</v>
      </c>
      <c r="D13" s="80">
        <f>+MAYO!D40</f>
        <v>9.0122201612903213E-2</v>
      </c>
      <c r="E13" s="2">
        <f t="shared" si="0"/>
        <v>5.5177861990261735E-2</v>
      </c>
      <c r="F13" t="s">
        <v>179</v>
      </c>
    </row>
    <row r="14" spans="2:6" ht="15.75" customHeight="1" x14ac:dyDescent="0.2">
      <c r="B14" t="s">
        <v>180</v>
      </c>
      <c r="C14" s="83">
        <f>+OCTUBRE!C52</f>
        <v>58.370044052863435</v>
      </c>
      <c r="D14" s="83">
        <f>+MAYO!C52</f>
        <v>63.265306122448976</v>
      </c>
      <c r="E14" s="2">
        <f>+(D14-C14)/C14</f>
        <v>8.3865999229880597E-2</v>
      </c>
      <c r="F14" t="s">
        <v>181</v>
      </c>
    </row>
    <row r="15" spans="2:6" ht="15.75" customHeight="1" x14ac:dyDescent="0.2">
      <c r="B15" t="s">
        <v>182</v>
      </c>
      <c r="C15" s="83">
        <f>+OCTUBRE!C53</f>
        <v>63.478260869565219</v>
      </c>
      <c r="D15" s="83">
        <f>+MAYO!C53</f>
        <v>68.701298701298697</v>
      </c>
      <c r="E15" s="2">
        <f>+(D15-C15)/C15</f>
        <v>8.2280732965664377E-2</v>
      </c>
      <c r="F15" t="s">
        <v>171</v>
      </c>
    </row>
    <row r="16" spans="2:6" ht="15.75" customHeight="1" x14ac:dyDescent="0.2">
      <c r="B16" t="s">
        <v>183</v>
      </c>
      <c r="C16" s="84">
        <f>+OCTUBRE!C89</f>
        <v>0.25</v>
      </c>
      <c r="D16" s="85">
        <f>+MAYO!C89</f>
        <v>0.2</v>
      </c>
      <c r="E16" s="2">
        <f>+D16-C16</f>
        <v>-4.9999999999999989E-2</v>
      </c>
      <c r="F16" t="s">
        <v>175</v>
      </c>
    </row>
    <row r="17" spans="2:6" ht="15.75" customHeight="1" x14ac:dyDescent="0.2">
      <c r="B17" t="s">
        <v>184</v>
      </c>
      <c r="C17" s="86">
        <f>+OCTUBRE!C91</f>
        <v>0.89408474576271191</v>
      </c>
      <c r="D17" s="86">
        <f>+MAYO!C91</f>
        <v>0.95056209039548023</v>
      </c>
      <c r="E17" s="2">
        <f>+(D17-C17)/C17</f>
        <v>6.3167775650382563E-2</v>
      </c>
      <c r="F17" t="s">
        <v>185</v>
      </c>
    </row>
    <row r="18" spans="2:6" ht="15.75" customHeight="1" x14ac:dyDescent="0.2">
      <c r="B18" t="s">
        <v>186</v>
      </c>
      <c r="C18" s="1">
        <f>+OCTUBRE!G93</f>
        <v>49.764756949152535</v>
      </c>
      <c r="D18" s="1">
        <f>+MAYO!G93</f>
        <v>52.908285951412424</v>
      </c>
      <c r="E18" s="2">
        <f>+(D18-C18)/C18</f>
        <v>6.3167775650382674E-2</v>
      </c>
    </row>
    <row r="19" spans="2:6" ht="15.75" customHeight="1" x14ac:dyDescent="0.2">
      <c r="B19" t="s">
        <v>187</v>
      </c>
      <c r="C19" s="1">
        <f>+OCTUBRE!G94</f>
        <v>37.323567711864406</v>
      </c>
      <c r="D19" s="1">
        <f>+MAYO!G94</f>
        <v>39.681214463559314</v>
      </c>
      <c r="E19" s="2">
        <f>+(D19-C19)/C19</f>
        <v>6.3167775650382424E-2</v>
      </c>
    </row>
    <row r="20" spans="2:6" ht="15.75" customHeight="1" x14ac:dyDescent="0.2">
      <c r="B20" t="s">
        <v>188</v>
      </c>
      <c r="C20" s="1">
        <f>+OCTUBRE!G95</f>
        <v>149.29427084745762</v>
      </c>
      <c r="D20" s="1">
        <f>+MAYO!G95</f>
        <v>158.72485785423726</v>
      </c>
      <c r="E20" s="2">
        <f>+(D20-C20)/C20</f>
        <v>6.3167775650382424E-2</v>
      </c>
    </row>
    <row r="21" spans="2:6" ht="15.75" customHeight="1" x14ac:dyDescent="0.2">
      <c r="B21" t="s">
        <v>136</v>
      </c>
      <c r="C21" s="1">
        <f>+OCTUBRE!C102</f>
        <v>23415.435510887775</v>
      </c>
      <c r="D21" s="1">
        <f>+MAYO!C102</f>
        <v>24372.589672897197</v>
      </c>
      <c r="E21" s="2">
        <f>+(D21-C21)/C21</f>
        <v>4.0877059987389983E-2</v>
      </c>
    </row>
    <row r="22" spans="2:6" ht="15.75" customHeight="1" x14ac:dyDescent="0.2">
      <c r="B22" t="s">
        <v>137</v>
      </c>
      <c r="C22" s="82">
        <f>+OCTUBRE!D103</f>
        <v>0.11639865996649905</v>
      </c>
      <c r="D22" s="80">
        <f>+MAYO!D103</f>
        <v>0.21378742990654204</v>
      </c>
      <c r="E22" s="2">
        <f>+D22-C22</f>
        <v>9.7388769940042988E-2</v>
      </c>
      <c r="F22" t="s">
        <v>164</v>
      </c>
    </row>
    <row r="23" spans="2:6" ht="15.75" customHeight="1" x14ac:dyDescent="0.2">
      <c r="B23" s="76" t="s">
        <v>189</v>
      </c>
      <c r="C23" s="2">
        <f>+OCTUBRE!C110</f>
        <v>0.6875</v>
      </c>
      <c r="D23" s="2">
        <f>+MAYO!C110</f>
        <v>0.63157894736842102</v>
      </c>
      <c r="E23" s="2">
        <f>+D23-C23</f>
        <v>-5.5921052631578982E-2</v>
      </c>
      <c r="F23" t="s">
        <v>190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23"/>
  <sheetViews>
    <sheetView showGridLines="0" tabSelected="1" topLeftCell="A4" zoomScale="130" zoomScaleNormal="130" workbookViewId="0">
      <selection activeCell="L18" sqref="L18"/>
    </sheetView>
  </sheetViews>
  <sheetFormatPr baseColWidth="10" defaultColWidth="10.5" defaultRowHeight="16" x14ac:dyDescent="0.2"/>
  <cols>
    <col min="1" max="1" width="4.5" customWidth="1"/>
    <col min="2" max="2" width="22" customWidth="1"/>
    <col min="9" max="11" width="8.33203125" hidden="1" customWidth="1"/>
    <col min="14" max="14" width="30.33203125" customWidth="1"/>
    <col min="15" max="15" width="34" customWidth="1"/>
    <col min="16" max="16" width="37.33203125" customWidth="1"/>
  </cols>
  <sheetData>
    <row r="1" spans="2:16" ht="16.5" customHeight="1" x14ac:dyDescent="0.2"/>
    <row r="2" spans="2:16" ht="27" customHeight="1" x14ac:dyDescent="0.2">
      <c r="B2" s="87" t="s">
        <v>191</v>
      </c>
      <c r="C2" s="88" t="s">
        <v>192</v>
      </c>
      <c r="D2" s="88" t="s">
        <v>193</v>
      </c>
      <c r="E2" s="88" t="s">
        <v>194</v>
      </c>
      <c r="F2" s="88" t="s">
        <v>195</v>
      </c>
      <c r="G2" s="88" t="s">
        <v>196</v>
      </c>
      <c r="H2" s="88" t="s">
        <v>197</v>
      </c>
      <c r="I2" s="88" t="s">
        <v>198</v>
      </c>
      <c r="J2" s="88" t="s">
        <v>199</v>
      </c>
      <c r="K2" s="88" t="s">
        <v>200</v>
      </c>
      <c r="L2" s="88" t="s">
        <v>201</v>
      </c>
      <c r="M2" s="88" t="s">
        <v>202</v>
      </c>
      <c r="N2" s="89" t="s">
        <v>203</v>
      </c>
      <c r="O2" s="90" t="s">
        <v>204</v>
      </c>
      <c r="P2" s="90" t="s">
        <v>205</v>
      </c>
    </row>
    <row r="3" spans="2:16" ht="27" customHeight="1" x14ac:dyDescent="0.2">
      <c r="B3" s="91" t="s">
        <v>206</v>
      </c>
      <c r="C3" s="92" t="s">
        <v>207</v>
      </c>
      <c r="D3" s="92">
        <v>45</v>
      </c>
      <c r="E3" s="92">
        <v>20</v>
      </c>
      <c r="F3" s="92">
        <v>38</v>
      </c>
      <c r="G3" s="93">
        <v>4.2</v>
      </c>
      <c r="H3" s="94">
        <v>5.5</v>
      </c>
      <c r="I3" s="95">
        <f t="shared" ref="I3:I8" si="0">(H3-G3)/H3</f>
        <v>0.23636363636363633</v>
      </c>
      <c r="J3" s="96">
        <v>0.4</v>
      </c>
      <c r="K3" s="94">
        <f>+G3/(1-J3)</f>
        <v>7.0000000000000009</v>
      </c>
      <c r="L3" s="92">
        <v>18</v>
      </c>
      <c r="M3" s="97" t="s">
        <v>208</v>
      </c>
      <c r="N3" s="98" t="s">
        <v>209</v>
      </c>
      <c r="O3" s="99" t="s">
        <v>210</v>
      </c>
      <c r="P3" s="100" t="s">
        <v>211</v>
      </c>
    </row>
    <row r="4" spans="2:16" ht="27" customHeight="1" x14ac:dyDescent="0.2">
      <c r="B4" s="101" t="s">
        <v>212</v>
      </c>
      <c r="C4" s="102" t="s">
        <v>213</v>
      </c>
      <c r="D4" s="102">
        <v>3</v>
      </c>
      <c r="E4" s="102">
        <v>15</v>
      </c>
      <c r="F4" s="102">
        <v>22</v>
      </c>
      <c r="G4" s="103">
        <v>1.8</v>
      </c>
      <c r="H4" s="104">
        <v>3</v>
      </c>
      <c r="I4" s="95">
        <f t="shared" si="0"/>
        <v>0.39999999999999997</v>
      </c>
      <c r="J4" s="96"/>
      <c r="K4" s="94"/>
      <c r="L4" s="102">
        <v>24</v>
      </c>
      <c r="M4" s="105" t="s">
        <v>214</v>
      </c>
      <c r="N4" s="106" t="s">
        <v>215</v>
      </c>
      <c r="O4" s="99" t="s">
        <v>216</v>
      </c>
      <c r="P4" s="100" t="s">
        <v>217</v>
      </c>
    </row>
    <row r="5" spans="2:16" ht="22.5" customHeight="1" x14ac:dyDescent="0.2">
      <c r="B5" s="91" t="s">
        <v>218</v>
      </c>
      <c r="C5" s="92" t="s">
        <v>213</v>
      </c>
      <c r="D5" s="92">
        <v>4</v>
      </c>
      <c r="E5" s="92">
        <v>10</v>
      </c>
      <c r="F5" s="92">
        <v>12</v>
      </c>
      <c r="G5" s="93">
        <v>3.5</v>
      </c>
      <c r="H5" s="94">
        <v>35</v>
      </c>
      <c r="I5" s="95">
        <f t="shared" si="0"/>
        <v>0.9</v>
      </c>
      <c r="J5" s="96"/>
      <c r="K5" s="94"/>
      <c r="L5" s="92">
        <v>8</v>
      </c>
      <c r="M5" s="105" t="s">
        <v>214</v>
      </c>
      <c r="N5" s="107" t="s">
        <v>219</v>
      </c>
      <c r="O5" s="108" t="s">
        <v>220</v>
      </c>
      <c r="P5" s="109" t="s">
        <v>221</v>
      </c>
    </row>
    <row r="6" spans="2:16" ht="27" customHeight="1" x14ac:dyDescent="0.2">
      <c r="B6" s="101" t="s">
        <v>222</v>
      </c>
      <c r="C6" s="102" t="s">
        <v>213</v>
      </c>
      <c r="D6" s="102">
        <v>28</v>
      </c>
      <c r="E6" s="102">
        <v>10</v>
      </c>
      <c r="F6" s="102">
        <v>18</v>
      </c>
      <c r="G6" s="103">
        <v>2.1</v>
      </c>
      <c r="H6" s="104">
        <v>3.5</v>
      </c>
      <c r="I6" s="95">
        <f t="shared" si="0"/>
        <v>0.39999999999999997</v>
      </c>
      <c r="J6" s="96"/>
      <c r="K6" s="94"/>
      <c r="L6" s="102">
        <v>14</v>
      </c>
      <c r="M6" s="110" t="s">
        <v>223</v>
      </c>
      <c r="N6" s="111"/>
      <c r="O6" s="108"/>
      <c r="P6" s="109"/>
    </row>
    <row r="7" spans="2:16" ht="27" customHeight="1" x14ac:dyDescent="0.2">
      <c r="B7" s="91" t="s">
        <v>224</v>
      </c>
      <c r="C7" s="92" t="s">
        <v>225</v>
      </c>
      <c r="D7" s="92">
        <v>12</v>
      </c>
      <c r="E7" s="92">
        <v>5</v>
      </c>
      <c r="F7" s="92">
        <v>8</v>
      </c>
      <c r="G7" s="93">
        <v>18.5</v>
      </c>
      <c r="H7" s="94">
        <v>22</v>
      </c>
      <c r="I7" s="95">
        <f t="shared" si="0"/>
        <v>0.15909090909090909</v>
      </c>
      <c r="J7" s="96">
        <v>0.35</v>
      </c>
      <c r="K7" s="94">
        <f>+G7/(1-J7)</f>
        <v>28.46153846153846</v>
      </c>
      <c r="L7" s="92">
        <v>6</v>
      </c>
      <c r="M7" s="97" t="s">
        <v>208</v>
      </c>
      <c r="N7" s="98" t="s">
        <v>226</v>
      </c>
      <c r="O7" s="112" t="s">
        <v>227</v>
      </c>
      <c r="P7" s="113" t="s">
        <v>228</v>
      </c>
    </row>
    <row r="8" spans="2:16" ht="27" customHeight="1" x14ac:dyDescent="0.2">
      <c r="B8" s="101" t="s">
        <v>229</v>
      </c>
      <c r="C8" s="102" t="s">
        <v>230</v>
      </c>
      <c r="D8" s="102">
        <v>8</v>
      </c>
      <c r="E8" s="102">
        <v>5</v>
      </c>
      <c r="F8" s="102">
        <v>3</v>
      </c>
      <c r="G8" s="103">
        <v>6.8</v>
      </c>
      <c r="H8" s="104">
        <v>40</v>
      </c>
      <c r="I8" s="95">
        <f t="shared" si="0"/>
        <v>0.83000000000000007</v>
      </c>
      <c r="J8" s="96"/>
      <c r="K8" s="94"/>
      <c r="L8" s="102">
        <v>1</v>
      </c>
      <c r="M8" s="105" t="s">
        <v>214</v>
      </c>
      <c r="N8" s="106" t="s">
        <v>231</v>
      </c>
      <c r="O8" s="112" t="s">
        <v>232</v>
      </c>
      <c r="P8" s="113" t="s">
        <v>233</v>
      </c>
    </row>
    <row r="9" spans="2:16" ht="39.75" customHeight="1" x14ac:dyDescent="0.2">
      <c r="B9" s="91" t="s">
        <v>234</v>
      </c>
      <c r="C9" s="92" t="s">
        <v>235</v>
      </c>
      <c r="D9" s="92">
        <v>35</v>
      </c>
      <c r="E9" s="92">
        <v>10</v>
      </c>
      <c r="F9" s="92">
        <v>6</v>
      </c>
      <c r="G9" s="93">
        <v>3.2</v>
      </c>
      <c r="H9" s="94" t="s">
        <v>236</v>
      </c>
      <c r="I9" s="95"/>
      <c r="J9" s="96"/>
      <c r="K9" s="94"/>
      <c r="L9" s="92">
        <v>36</v>
      </c>
      <c r="M9" s="110" t="s">
        <v>223</v>
      </c>
      <c r="N9" s="111"/>
      <c r="O9" s="108"/>
      <c r="P9" s="109"/>
    </row>
    <row r="10" spans="2:16" ht="27" customHeight="1" x14ac:dyDescent="0.2">
      <c r="B10" s="101" t="s">
        <v>237</v>
      </c>
      <c r="C10" s="102" t="s">
        <v>230</v>
      </c>
      <c r="D10" s="102">
        <v>12</v>
      </c>
      <c r="E10" s="102">
        <v>3</v>
      </c>
      <c r="F10" s="102">
        <v>4</v>
      </c>
      <c r="G10" s="103">
        <v>28</v>
      </c>
      <c r="H10" s="104">
        <v>60</v>
      </c>
      <c r="I10" s="95">
        <f>(H10-G10)/H10</f>
        <v>0.53333333333333333</v>
      </c>
      <c r="J10" s="96"/>
      <c r="K10" s="94"/>
      <c r="L10" s="102">
        <v>2</v>
      </c>
      <c r="M10" s="105" t="s">
        <v>214</v>
      </c>
      <c r="N10" s="106" t="s">
        <v>238</v>
      </c>
      <c r="O10" s="112" t="s">
        <v>239</v>
      </c>
      <c r="P10" s="113" t="s">
        <v>240</v>
      </c>
    </row>
    <row r="11" spans="2:16" ht="16.5" customHeight="1" x14ac:dyDescent="0.2">
      <c r="B11" s="91" t="s">
        <v>241</v>
      </c>
      <c r="C11" s="92" t="s">
        <v>213</v>
      </c>
      <c r="D11" s="92">
        <v>22</v>
      </c>
      <c r="E11" s="92">
        <v>8</v>
      </c>
      <c r="F11" s="92">
        <v>14</v>
      </c>
      <c r="G11" s="93">
        <v>2.4</v>
      </c>
      <c r="H11" s="94">
        <v>5.5</v>
      </c>
      <c r="I11" s="95">
        <f>(H11-G11)/H11</f>
        <v>0.5636363636363636</v>
      </c>
      <c r="J11" s="96"/>
      <c r="K11" s="94"/>
      <c r="L11" s="92">
        <v>20</v>
      </c>
      <c r="M11" s="110" t="s">
        <v>223</v>
      </c>
      <c r="N11" s="111"/>
      <c r="O11" s="108"/>
      <c r="P11" s="109"/>
    </row>
    <row r="12" spans="2:16" ht="15.75" customHeight="1" x14ac:dyDescent="0.2">
      <c r="B12" s="114" t="s">
        <v>242</v>
      </c>
    </row>
    <row r="13" spans="2:16" ht="16.5" customHeight="1" x14ac:dyDescent="0.2"/>
    <row r="14" spans="2:16" ht="16.5" customHeight="1" x14ac:dyDescent="0.2">
      <c r="N14" s="89" t="s">
        <v>203</v>
      </c>
      <c r="O14" s="90" t="s">
        <v>204</v>
      </c>
      <c r="P14" s="90" t="s">
        <v>205</v>
      </c>
    </row>
    <row r="15" spans="2:16" ht="27" customHeight="1" x14ac:dyDescent="0.2">
      <c r="N15" s="98" t="s">
        <v>209</v>
      </c>
      <c r="O15" s="99" t="s">
        <v>210</v>
      </c>
      <c r="P15" s="100" t="s">
        <v>211</v>
      </c>
    </row>
    <row r="16" spans="2:16" ht="27" customHeight="1" x14ac:dyDescent="0.2">
      <c r="N16" s="106" t="s">
        <v>215</v>
      </c>
      <c r="O16" s="99" t="s">
        <v>216</v>
      </c>
      <c r="P16" s="100" t="s">
        <v>217</v>
      </c>
    </row>
    <row r="17" spans="14:16" ht="27" customHeight="1" x14ac:dyDescent="0.2">
      <c r="N17" s="107" t="s">
        <v>219</v>
      </c>
      <c r="O17" s="108" t="s">
        <v>220</v>
      </c>
      <c r="P17" s="109" t="s">
        <v>221</v>
      </c>
    </row>
    <row r="18" spans="14:16" ht="16.5" customHeight="1" x14ac:dyDescent="0.2">
      <c r="N18" s="111"/>
      <c r="O18" s="108"/>
      <c r="P18" s="109"/>
    </row>
    <row r="19" spans="14:16" ht="27" customHeight="1" x14ac:dyDescent="0.2">
      <c r="N19" s="98" t="s">
        <v>226</v>
      </c>
      <c r="O19" s="112" t="s">
        <v>227</v>
      </c>
      <c r="P19" s="113" t="s">
        <v>228</v>
      </c>
    </row>
    <row r="20" spans="14:16" ht="27" customHeight="1" x14ac:dyDescent="0.2">
      <c r="N20" s="106" t="s">
        <v>231</v>
      </c>
      <c r="O20" s="112" t="s">
        <v>232</v>
      </c>
      <c r="P20" s="113" t="s">
        <v>233</v>
      </c>
    </row>
    <row r="21" spans="14:16" ht="16.5" customHeight="1" x14ac:dyDescent="0.2">
      <c r="N21" s="111"/>
      <c r="O21" s="108"/>
      <c r="P21" s="109"/>
    </row>
    <row r="22" spans="14:16" ht="27" customHeight="1" x14ac:dyDescent="0.2">
      <c r="N22" s="106" t="s">
        <v>238</v>
      </c>
      <c r="O22" s="112" t="s">
        <v>239</v>
      </c>
      <c r="P22" s="113" t="s">
        <v>240</v>
      </c>
    </row>
    <row r="23" spans="14:16" ht="16.5" customHeight="1" x14ac:dyDescent="0.2">
      <c r="N23" s="111"/>
      <c r="O23" s="108"/>
      <c r="P23" s="109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OCTUBRE</vt:lpstr>
      <vt:lpstr>MAYO</vt:lpstr>
      <vt:lpstr>KPIs</vt:lpstr>
      <vt:lpstr>Stocks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Enrique Barreneche</dc:creator>
  <dc:description/>
  <cp:lastModifiedBy>Enrique Barreneche</cp:lastModifiedBy>
  <cp:revision>2</cp:revision>
  <cp:lastPrinted>2026-08-06T10:48:09Z</cp:lastPrinted>
  <dcterms:created xsi:type="dcterms:W3CDTF">2026-07-21T10:54:10Z</dcterms:created>
  <dcterms:modified xsi:type="dcterms:W3CDTF">2026-10-08T09:36:39Z</dcterms:modified>
  <dc:language>en-US</dc:language>
</cp:coreProperties>
</file>